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xinsabm\OneDrive - SNMO\Företagslärling\Ekonomi\"/>
    </mc:Choice>
  </mc:AlternateContent>
  <xr:revisionPtr revIDLastSave="24" documentId="13_ncr:1_{ACBDE515-AFCC-4347-B124-1B055A8002D3}" xr6:coauthVersionLast="41" xr6:coauthVersionMax="41" xr10:uidLastSave="{146B83A7-FFE2-4253-9525-B9D039B25856}"/>
  <workbookProtection workbookAlgorithmName="SHA-512" workbookHashValue="cXElvsV7zY9JTJZW+krgZmAaJ8qrtBVWDkpznANwgapWSp6BEfX99KjBfNDimKpQh1OvH/g+e43ezHKLBhJT2A==" workbookSaltValue="Y6waxIxvC45pPYpXWJJqBg==" workbookSpinCount="100000" lockStructure="1"/>
  <bookViews>
    <workbookView xWindow="-120" yWindow="-120" windowWidth="29040" windowHeight="15990" xr2:uid="{00000000-000D-0000-FFFF-FFFF00000000}"/>
  </bookViews>
  <sheets>
    <sheet name="Investering företaglärling" sheetId="7" r:id="rId1"/>
    <sheet name="Utbildningsplan" sheetId="6" r:id="rId2"/>
    <sheet name="Totalkostnad lön" sheetId="1" r:id="rId3"/>
    <sheet name="1" sheetId="2" state="hidden" r:id="rId4"/>
    <sheet name="Yrkesarbetare VVS" sheetId="3" state="hidden" r:id="rId5"/>
  </sheets>
  <externalReferences>
    <externalReference r:id="rId6"/>
  </externalReferences>
  <definedNames>
    <definedName name="_Toc496724600" localSheetId="1">Utbildningsplan!$A$22</definedName>
    <definedName name="_Toc496724601" localSheetId="1">Utbildningsplan!$A$23</definedName>
    <definedName name="_Toc496724602" localSheetId="1">Utbildningsplan!$A$24</definedName>
    <definedName name="_Toc496724603" localSheetId="1">Utbildningsplan!$A$25</definedName>
    <definedName name="_Toc496724606" localSheetId="1">Utbildningsplan!$A$31</definedName>
    <definedName name="_Toc496724607" localSheetId="1">Utbildningsplan!$A$32</definedName>
    <definedName name="_Toc496724608" localSheetId="1">Utbildningsplan!$A$33</definedName>
    <definedName name="_Toc496724610" localSheetId="1">Utbildningsplan!$A$34</definedName>
    <definedName name="_Toc496724611" localSheetId="1">Utbildningsplan!$A$35</definedName>
    <definedName name="boende" localSheetId="1">Utbildningsplan!$P$40</definedName>
    <definedName name="boende">'[1]Start oktober resp januari'!$B$44</definedName>
    <definedName name="Print_Area" localSheetId="1">Utbildningsplan!$A$1:$P$37</definedName>
    <definedName name="pris" localSheetId="1">Utbildningsplan!$P$39</definedName>
    <definedName name="pris">'[1]Start oktober resp januari'!$B$43</definedName>
    <definedName name="resa" localSheetId="1">Utbildningsplan!$P$41</definedName>
    <definedName name="resa">'[1]Start oktober resp januari'!$B$45</definedName>
    <definedName name="tot_lön" localSheetId="1">Utbildningsplan!#REF!</definedName>
    <definedName name="tot_lön_xtra" localSheetId="1">Utbildningsplan!#REF!</definedName>
    <definedName name="tot_lön_xtra">'[1]Start oktober resp januari'!$C$62</definedName>
    <definedName name="_xlnm.Print_Area" localSheetId="0">'Investering företaglärling'!$A$2:$I$43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  <c r="F29" i="1"/>
  <c r="H8" i="7" l="1"/>
  <c r="F8" i="7"/>
  <c r="D8" i="7"/>
  <c r="B7" i="1" l="1"/>
  <c r="H35" i="6" l="1"/>
  <c r="H23" i="7"/>
  <c r="F23" i="7"/>
  <c r="D23" i="7"/>
  <c r="D15" i="7"/>
  <c r="F15" i="7" s="1"/>
  <c r="H15" i="7" s="1"/>
  <c r="B9" i="7"/>
  <c r="D9" i="7" s="1"/>
  <c r="D10" i="7" s="1"/>
  <c r="D11" i="7" s="1"/>
  <c r="K37" i="6" l="1"/>
  <c r="J37" i="6"/>
  <c r="I37" i="6"/>
  <c r="H37" i="6"/>
  <c r="G37" i="6"/>
  <c r="F37" i="6"/>
  <c r="E37" i="6"/>
  <c r="G14" i="7" s="1"/>
  <c r="H14" i="7" s="1"/>
  <c r="D37" i="6"/>
  <c r="C37" i="6"/>
  <c r="B37" i="6"/>
  <c r="M36" i="6"/>
  <c r="L36" i="6"/>
  <c r="M35" i="6"/>
  <c r="L35" i="6"/>
  <c r="M34" i="6"/>
  <c r="L34" i="6"/>
  <c r="M33" i="6"/>
  <c r="L33" i="6"/>
  <c r="M32" i="6"/>
  <c r="L32" i="6"/>
  <c r="M31" i="6"/>
  <c r="L31" i="6"/>
  <c r="M30" i="6"/>
  <c r="L30" i="6"/>
  <c r="K27" i="6"/>
  <c r="J27" i="6"/>
  <c r="I27" i="6"/>
  <c r="H27" i="6"/>
  <c r="G27" i="6"/>
  <c r="F27" i="6"/>
  <c r="E27" i="6"/>
  <c r="E14" i="7" s="1"/>
  <c r="F14" i="7" s="1"/>
  <c r="D27" i="6"/>
  <c r="C27" i="6"/>
  <c r="B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K16" i="6"/>
  <c r="J16" i="6"/>
  <c r="I16" i="6"/>
  <c r="H16" i="6"/>
  <c r="G16" i="6"/>
  <c r="C22" i="7" s="1"/>
  <c r="D22" i="7" s="1"/>
  <c r="F16" i="6"/>
  <c r="E16" i="6"/>
  <c r="D16" i="6"/>
  <c r="C16" i="6"/>
  <c r="C14" i="7" s="1"/>
  <c r="D14" i="7" s="1"/>
  <c r="D16" i="7" s="1"/>
  <c r="D18" i="7" s="1"/>
  <c r="B16" i="6"/>
  <c r="M15" i="6"/>
  <c r="L15" i="6"/>
  <c r="M14" i="6"/>
  <c r="L14" i="6"/>
  <c r="M13" i="6"/>
  <c r="L13" i="6"/>
  <c r="M12" i="6"/>
  <c r="L12" i="6"/>
  <c r="M11" i="6"/>
  <c r="L11" i="6"/>
  <c r="M10" i="6"/>
  <c r="L10" i="6"/>
  <c r="M9" i="6"/>
  <c r="L9" i="6"/>
  <c r="M8" i="6"/>
  <c r="L8" i="6"/>
  <c r="M7" i="6"/>
  <c r="L7" i="6"/>
  <c r="M6" i="6"/>
  <c r="L6" i="6"/>
  <c r="L16" i="6" l="1"/>
  <c r="M27" i="6"/>
  <c r="F35" i="7" s="1"/>
  <c r="E22" i="7"/>
  <c r="F22" i="7" s="1"/>
  <c r="M37" i="6"/>
  <c r="G22" i="7"/>
  <c r="H22" i="7" s="1"/>
  <c r="L27" i="6"/>
  <c r="L37" i="6"/>
  <c r="F9" i="7"/>
  <c r="F10" i="7" s="1"/>
  <c r="D24" i="7"/>
  <c r="D26" i="7" s="1"/>
  <c r="D28" i="7" s="1"/>
  <c r="D31" i="7" s="1"/>
  <c r="M16" i="6"/>
  <c r="D35" i="7" s="1"/>
  <c r="P23" i="6"/>
  <c r="P20" i="6"/>
  <c r="P24" i="6"/>
  <c r="P34" i="6" l="1"/>
  <c r="H35" i="7"/>
  <c r="P12" i="6"/>
  <c r="P13" i="6"/>
  <c r="P33" i="6"/>
  <c r="P30" i="6"/>
  <c r="P31" i="6" s="1"/>
  <c r="P9" i="6"/>
  <c r="H9" i="7"/>
  <c r="H10" i="7" s="1"/>
  <c r="F11" i="7"/>
  <c r="F24" i="7"/>
  <c r="F26" i="7" s="1"/>
  <c r="F16" i="7"/>
  <c r="F18" i="7" s="1"/>
  <c r="P26" i="6"/>
  <c r="P21" i="6"/>
  <c r="P15" i="6" l="1"/>
  <c r="P10" i="6"/>
  <c r="D39" i="7" s="1"/>
  <c r="P36" i="6"/>
  <c r="H11" i="7"/>
  <c r="H24" i="7"/>
  <c r="H26" i="7" s="1"/>
  <c r="H16" i="7"/>
  <c r="H18" i="7" s="1"/>
  <c r="F28" i="7"/>
  <c r="F31" i="7" s="1"/>
  <c r="P37" i="6"/>
  <c r="H39" i="7"/>
  <c r="P27" i="6"/>
  <c r="F39" i="7"/>
  <c r="P16" i="6" l="1"/>
  <c r="H28" i="7"/>
  <c r="H31" i="7" s="1"/>
  <c r="E6" i="3" l="1"/>
  <c r="F28" i="3"/>
  <c r="D28" i="3"/>
  <c r="F8" i="3" l="1"/>
  <c r="F10" i="3"/>
  <c r="F13" i="3"/>
  <c r="C14" i="3" s="1"/>
  <c r="E23" i="3"/>
  <c r="E13" i="3" l="1"/>
  <c r="E18" i="3" l="1"/>
  <c r="E30" i="3"/>
  <c r="E27" i="3"/>
  <c r="E17" i="3"/>
  <c r="E21" i="3"/>
  <c r="E24" i="3" s="1"/>
  <c r="E16" i="3"/>
  <c r="E28" i="3"/>
  <c r="E25" i="3"/>
  <c r="E26" i="3" s="1"/>
  <c r="E20" i="3"/>
  <c r="E15" i="3"/>
  <c r="E31" i="3" l="1"/>
  <c r="E6" i="1" l="1"/>
  <c r="E24" i="1" l="1"/>
  <c r="F10" i="1"/>
  <c r="F9" i="1"/>
  <c r="G19" i="1"/>
  <c r="G18" i="1"/>
  <c r="H18" i="1" s="1"/>
  <c r="F18" i="1" s="1"/>
  <c r="F23" i="2"/>
  <c r="D23" i="2"/>
  <c r="E8" i="2"/>
  <c r="E12" i="2" s="1"/>
  <c r="E13" i="2" s="1"/>
  <c r="H19" i="1" l="1"/>
  <c r="F19" i="1" s="1"/>
  <c r="F14" i="1"/>
  <c r="E14" i="1" s="1"/>
  <c r="E23" i="2"/>
  <c r="E21" i="2"/>
  <c r="E14" i="2"/>
  <c r="E16" i="2"/>
  <c r="E25" i="2"/>
  <c r="E18" i="2"/>
  <c r="E15" i="2"/>
  <c r="E19" i="2"/>
  <c r="D29" i="1"/>
  <c r="C15" i="1" l="1"/>
  <c r="E31" i="1"/>
  <c r="E22" i="1"/>
  <c r="E25" i="1" s="1"/>
  <c r="E19" i="1"/>
  <c r="E29" i="1"/>
  <c r="E17" i="1"/>
  <c r="E18" i="1"/>
  <c r="E21" i="1"/>
  <c r="E16" i="1"/>
  <c r="E28" i="1"/>
  <c r="E26" i="1"/>
  <c r="E27" i="1" s="1"/>
  <c r="E22" i="2"/>
  <c r="E26" i="2"/>
  <c r="E32" i="1" l="1"/>
  <c r="F32" i="7" l="1"/>
  <c r="F33" i="7" s="1"/>
  <c r="F36" i="7" s="1"/>
  <c r="F40" i="7" s="1"/>
  <c r="D32" i="7"/>
  <c r="D33" i="7" s="1"/>
  <c r="D36" i="7" s="1"/>
  <c r="D40" i="7" s="1"/>
  <c r="H32" i="7"/>
  <c r="H33" i="7" s="1"/>
  <c r="H36" i="7" s="1"/>
  <c r="H4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Mustonen, Reijo</author>
  </authors>
  <commentList>
    <comment ref="E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Mustonen, Reijo:</t>
        </r>
        <r>
          <rPr>
            <sz val="9"/>
            <color indexed="81"/>
            <rFont val="Tahoma"/>
            <family val="2"/>
          </rPr>
          <t xml:space="preserve">
Lönekostnad som bildar underlag för nedanstående. Om man anger månadslön så sker en beräkning månadslön/174.</t>
        </r>
      </text>
    </comment>
    <comment ref="B1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Mustonen, Reijo:</t>
        </r>
        <r>
          <rPr>
            <sz val="9"/>
            <color indexed="81"/>
            <rFont val="Tahoma"/>
            <family val="2"/>
          </rPr>
          <t xml:space="preserve">
Ex För en fullbetald elektriker vid 1 timme restid per dag och månadskort på kollektivtrafiken    =&gt; 109,89kr/8h=13,74 kr/h + 1000kr/174h= 19,48 kr/h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Mustonen, Reijo</author>
  </authors>
  <commentList>
    <comment ref="E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Mustonen, Reijo:</t>
        </r>
        <r>
          <rPr>
            <sz val="9"/>
            <color indexed="81"/>
            <rFont val="Tahoma"/>
            <family val="2"/>
          </rPr>
          <t xml:space="preserve">
Lönekostnad som bildar underlag för nedanstående beräkning. 
Månadslön/174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Mustonen, Reijo</author>
  </authors>
  <commentList>
    <comment ref="E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Mustonen, Reijo:</t>
        </r>
        <r>
          <rPr>
            <sz val="9"/>
            <color indexed="81"/>
            <rFont val="Tahoma"/>
            <family val="2"/>
          </rPr>
          <t xml:space="preserve">
Lönekostnad som bildar underlag för nedanstående. Om man anger månadslön så sker en beräkning  månadslön/174. Vid Timlön är detta = utgångsvärdet. </t>
        </r>
      </text>
    </comment>
  </commentList>
</comments>
</file>

<file path=xl/sharedStrings.xml><?xml version="1.0" encoding="utf-8"?>
<sst xmlns="http://schemas.openxmlformats.org/spreadsheetml/2006/main" count="300" uniqueCount="169">
  <si>
    <t>Månadslön</t>
  </si>
  <si>
    <t>Timlön</t>
  </si>
  <si>
    <t>Typ av kostnad</t>
  </si>
  <si>
    <t>Beräkningsgrund</t>
  </si>
  <si>
    <t>Kostnad</t>
  </si>
  <si>
    <t>3.1</t>
  </si>
  <si>
    <t>Lön</t>
  </si>
  <si>
    <t>3.2</t>
  </si>
  <si>
    <t>Arbetsgivaravgift</t>
  </si>
  <si>
    <t>31,42 % av Lön</t>
  </si>
  <si>
    <t>3.3</t>
  </si>
  <si>
    <t>Semester</t>
  </si>
  <si>
    <t xml:space="preserve">12,84 % av Lön </t>
  </si>
  <si>
    <t>3.4</t>
  </si>
  <si>
    <r>
      <t xml:space="preserve">Arbetstidsförkortning </t>
    </r>
    <r>
      <rPr>
        <sz val="10"/>
        <color rgb="FF232323"/>
        <rFont val="Arial"/>
        <family val="2"/>
      </rPr>
      <t>enligt avtal</t>
    </r>
  </si>
  <si>
    <t>1,59 % av Lön</t>
  </si>
  <si>
    <t>3.5</t>
  </si>
  <si>
    <r>
      <t>Övrig ledighet</t>
    </r>
    <r>
      <rPr>
        <sz val="10"/>
        <color rgb="FF232323"/>
        <rFont val="Arial"/>
        <family val="2"/>
      </rPr>
      <t xml:space="preserve"> enligt avtal </t>
    </r>
  </si>
  <si>
    <t>(röda dagar, klämdagar m.m.)</t>
  </si>
  <si>
    <t>3.6</t>
  </si>
  <si>
    <r>
      <t>Försäkringar och avgifter</t>
    </r>
    <r>
      <rPr>
        <sz val="10"/>
        <color rgb="FF232323"/>
        <rFont val="Arial"/>
        <family val="2"/>
      </rPr>
      <t xml:space="preserve"> enligt avtal</t>
    </r>
  </si>
  <si>
    <t>0,41 % av Lön</t>
  </si>
  <si>
    <t>3.7</t>
  </si>
  <si>
    <r>
      <t>Pension</t>
    </r>
    <r>
      <rPr>
        <sz val="10"/>
        <color rgb="FF232323"/>
        <rFont val="Arial"/>
        <family val="2"/>
      </rPr>
      <t xml:space="preserve"> enligt avtal</t>
    </r>
  </si>
  <si>
    <t>4,3 % av Lön</t>
  </si>
  <si>
    <t xml:space="preserve">* Yrkesarbetare under 26 års ålder har inte rätt till pension enligt avtal. </t>
  </si>
  <si>
    <t>** Vid lön över 7,5 inkomstbasbelopp tillkommer 30 % pension på överskjutande del av lön.</t>
  </si>
  <si>
    <t>3.7.1</t>
  </si>
  <si>
    <r>
      <t>Särskild löneskatt</t>
    </r>
    <r>
      <rPr>
        <i/>
        <sz val="9"/>
        <color rgb="FF232323"/>
        <rFont val="Arial"/>
        <family val="2"/>
      </rPr>
      <t xml:space="preserve"> ska utgå på kostnad för pension enligt punkt 3.7.</t>
    </r>
  </si>
  <si>
    <t>24,26 % av kostnad för p. 3.7</t>
  </si>
  <si>
    <t>3.8</t>
  </si>
  <si>
    <r>
      <t xml:space="preserve">Extrapension EIO-SEF </t>
    </r>
    <r>
      <rPr>
        <sz val="10"/>
        <color rgb="FF232323"/>
        <rFont val="Arial"/>
        <family val="2"/>
      </rPr>
      <t>enligt avtal</t>
    </r>
  </si>
  <si>
    <t>3.8.1</t>
  </si>
  <si>
    <r>
      <t>Särskild löneskatt</t>
    </r>
    <r>
      <rPr>
        <i/>
        <sz val="9"/>
        <color rgb="FF232323"/>
        <rFont val="Arial"/>
        <family val="2"/>
      </rPr>
      <t xml:space="preserve"> ska utgå på kostnad för pension enligt punkt 3.8.</t>
    </r>
  </si>
  <si>
    <t>24,26 % av kostnad för p. 3.8</t>
  </si>
  <si>
    <t>3.9</t>
  </si>
  <si>
    <r>
      <t xml:space="preserve">Särskilt tillägg, el, </t>
    </r>
    <r>
      <rPr>
        <sz val="10"/>
        <color rgb="FF232323"/>
        <rFont val="Arial"/>
        <family val="2"/>
      </rPr>
      <t>enligt avtal</t>
    </r>
  </si>
  <si>
    <t>0,25 % av Lön</t>
  </si>
  <si>
    <t>3.10</t>
  </si>
  <si>
    <r>
      <t xml:space="preserve">Skyddskläder </t>
    </r>
    <r>
      <rPr>
        <sz val="10"/>
        <color rgb="FF232323"/>
        <rFont val="Arial"/>
        <family val="2"/>
      </rPr>
      <t>enligt avtal</t>
    </r>
  </si>
  <si>
    <t>Ange företagets procentsats</t>
  </si>
  <si>
    <t>*Någon fast procentsats följer inte av avtal, eftersom det är fråga om företagets verkliga kostnad (branschsnitt uppskattas till ca 1,5 %).</t>
  </si>
  <si>
    <t>3.11</t>
  </si>
  <si>
    <t>Avgifter till arbetsgivarorganisation</t>
  </si>
  <si>
    <t>1,0 % av Lön</t>
  </si>
  <si>
    <t>Totalt</t>
  </si>
  <si>
    <r>
      <t>Börja med att fylla i Månadslön. Beräkningsgrundande lön beräknas som månadslön</t>
    </r>
    <r>
      <rPr>
        <sz val="8"/>
        <color theme="1"/>
        <rFont val="Arial"/>
        <family val="2"/>
        <scheme val="major"/>
      </rPr>
      <t xml:space="preserve"> dividerat med 174.)</t>
    </r>
    <r>
      <rPr>
        <sz val="11"/>
        <color theme="1"/>
        <rFont val="Arial"/>
        <family val="2"/>
        <scheme val="major"/>
      </rPr>
      <t xml:space="preserve">
Sedan skall även en procentsats för skyddskläder anges.
Inmatningen sker i de orangefälten.
</t>
    </r>
  </si>
  <si>
    <t>2.1</t>
  </si>
  <si>
    <t>Lön före skatt med påslag för sjuklön om 1,69 %</t>
  </si>
  <si>
    <t>………………. kr</t>
  </si>
  <si>
    <t>2.2</t>
  </si>
  <si>
    <t>2.3</t>
  </si>
  <si>
    <t xml:space="preserve">15,46 % av Lön </t>
  </si>
  <si>
    <t>2.4</t>
  </si>
  <si>
    <t>2,25 % av Lön</t>
  </si>
  <si>
    <t>2.5</t>
  </si>
  <si>
    <t>4,95 % av Lön</t>
  </si>
  <si>
    <t>2.6</t>
  </si>
  <si>
    <t>0,736 % av Lön</t>
  </si>
  <si>
    <t>2.7</t>
  </si>
  <si>
    <t>4,5 % av Lön</t>
  </si>
  <si>
    <t xml:space="preserve">* Tjänstemän under 26 års ålder har inte rätt till pension enligt avtal. </t>
  </si>
  <si>
    <t>30 % av Månadslön över 39 062 kr</t>
  </si>
  <si>
    <t>2.7.1</t>
  </si>
  <si>
    <r>
      <t>Särskild löneskatt</t>
    </r>
    <r>
      <rPr>
        <i/>
        <sz val="9"/>
        <color rgb="FF232323"/>
        <rFont val="Arial"/>
        <family val="2"/>
      </rPr>
      <t xml:space="preserve"> ska utgå på kostnad för pension enligt punkt 2.7.</t>
    </r>
  </si>
  <si>
    <t>24,26 % av kostnad för p. 2.7</t>
  </si>
  <si>
    <t>2.8</t>
  </si>
  <si>
    <t>2.9</t>
  </si>
  <si>
    <t>Dagliga resor i månaden</t>
  </si>
  <si>
    <t>Dagliga resor per a-timme</t>
  </si>
  <si>
    <t>Sjukfrånvaro i snitt tim</t>
  </si>
  <si>
    <t xml:space="preserve">Lön före skatt med påslag för sjuklön om </t>
  </si>
  <si>
    <t xml:space="preserve">13,16 % av Lön </t>
  </si>
  <si>
    <t>2,24 % av Lön</t>
  </si>
  <si>
    <t>4,93 % av Lön</t>
  </si>
  <si>
    <t xml:space="preserve">0,3 % av Lön </t>
  </si>
  <si>
    <t>*Någon fast procentsats följer inte av avtal, eftersom det är fråga om företagets verkliga kostnad (branschsnitt uppskattas till ca 1,6 %).</t>
  </si>
  <si>
    <r>
      <t xml:space="preserve">Särskilt tillägg, VVS, </t>
    </r>
    <r>
      <rPr>
        <sz val="10"/>
        <color rgb="FF232323"/>
        <rFont val="Arial"/>
        <family val="2"/>
      </rPr>
      <t>enligt avtal</t>
    </r>
  </si>
  <si>
    <t>0,42 % av Lön</t>
  </si>
  <si>
    <r>
      <t xml:space="preserve">Extrapension </t>
    </r>
    <r>
      <rPr>
        <sz val="10"/>
        <color rgb="FF232323"/>
        <rFont val="Arial"/>
        <family val="2"/>
      </rPr>
      <t xml:space="preserve">enligt Teknikinstalationsavtalet </t>
    </r>
  </si>
  <si>
    <r>
      <t xml:space="preserve">Börja med att fylla i Timlön eller i förkommande fall Månadslön.
</t>
    </r>
    <r>
      <rPr>
        <sz val="8"/>
        <color theme="1"/>
        <rFont val="Arial"/>
        <family val="2"/>
        <scheme val="major"/>
      </rPr>
      <t xml:space="preserve">(Uträkningen sker i första hand på angiven timlön eller så divideras månadslön med 174.) 
</t>
    </r>
    <r>
      <rPr>
        <sz val="11"/>
        <color theme="1"/>
        <rFont val="Arial"/>
        <family val="2"/>
        <scheme val="major"/>
      </rPr>
      <t xml:space="preserve">Den genomsnittliga sjukfrånvaron anges i ruta B10
Sedan skall även en procentsats för skyddskläder anges.
</t>
    </r>
    <r>
      <rPr>
        <b/>
        <sz val="9"/>
        <color theme="1"/>
        <rFont val="Arial"/>
        <family val="2"/>
        <scheme val="major"/>
      </rPr>
      <t>(används Tab tangenten för att förflytta dig mellan de orange fälten)</t>
    </r>
    <r>
      <rPr>
        <sz val="11"/>
        <color theme="1"/>
        <rFont val="Arial"/>
        <family val="2"/>
        <scheme val="major"/>
      </rPr>
      <t xml:space="preserve">
Inmatningen sker i de orangefälten.
</t>
    </r>
  </si>
  <si>
    <t>Finns inte i SEKO-avtalet eller Larm/Säkerhetsavtalet SEF</t>
  </si>
  <si>
    <t>Hit är det lagstadgat</t>
  </si>
  <si>
    <t>Reseavtalet i SEKO och Larm/Säk-avtalet ser annorlunda ut. Där bestämmer AG själv, dvs inte kollektivavtalsbundet</t>
  </si>
  <si>
    <t>INTÄKTER</t>
  </si>
  <si>
    <t>Beräknad avräkning ej fakturerbartid inkl sjukdom/vab</t>
  </si>
  <si>
    <t>Kundpris</t>
  </si>
  <si>
    <t>SAMLAD EKONOMI</t>
  </si>
  <si>
    <t>Utbildningskostnad PILOT</t>
  </si>
  <si>
    <t>Årsarbetstid</t>
  </si>
  <si>
    <t>TOTALT</t>
  </si>
  <si>
    <t>KOSTNAD</t>
  </si>
  <si>
    <t>Installationselektriker</t>
  </si>
  <si>
    <t>Poäng</t>
  </si>
  <si>
    <t>Veckor</t>
  </si>
  <si>
    <t xml:space="preserve">Elkraftteknik, 100p </t>
  </si>
  <si>
    <t>Praktisk ellära, 100p</t>
  </si>
  <si>
    <t>Elinstallationer, 200p</t>
  </si>
  <si>
    <t xml:space="preserve">Belysningsteknik, 100p </t>
  </si>
  <si>
    <t>Ordinarie pris</t>
  </si>
  <si>
    <t xml:space="preserve">Elmotorstyrning, 100p </t>
  </si>
  <si>
    <t>Pilot 50 %</t>
  </si>
  <si>
    <t xml:space="preserve">Kommunikationsnät 1, 100p </t>
  </si>
  <si>
    <t xml:space="preserve">Data- och medianät, 100p </t>
  </si>
  <si>
    <t>Estimat boendekostnad</t>
  </si>
  <si>
    <t>Larm-, övervaknings- och säkerhetssystem 100p</t>
  </si>
  <si>
    <t>Estimat reskostnad</t>
  </si>
  <si>
    <t>Fastighetsautomation 1, 100p</t>
  </si>
  <si>
    <t>Gymnasiearbete (etg-väggen), 100p</t>
  </si>
  <si>
    <t>Estimerad total kst</t>
  </si>
  <si>
    <t xml:space="preserve">Summa poäng och veckor </t>
  </si>
  <si>
    <t>Pilot</t>
  </si>
  <si>
    <t>Larm- och säkerhetstekniker</t>
  </si>
  <si>
    <t xml:space="preserve">Praktisk ellära, 100p </t>
  </si>
  <si>
    <t xml:space="preserve">Larm-, övervaknings- och säkerhetssystem, 100p </t>
  </si>
  <si>
    <t xml:space="preserve">Brandlarmsystem, 100p </t>
  </si>
  <si>
    <t>CCTV-system, 100p</t>
  </si>
  <si>
    <t xml:space="preserve">Inbrottslarmssystem, 100p </t>
  </si>
  <si>
    <t xml:space="preserve">Passersystem, 100p </t>
  </si>
  <si>
    <t>Gymnasiearbete, 100p</t>
  </si>
  <si>
    <t xml:space="preserve">Teletekniker </t>
  </si>
  <si>
    <t>Elsäkerhet för "icke elektriker" 1 dag, EUU-kurs</t>
  </si>
  <si>
    <t xml:space="preserve">Kommunikationsnät 2, 100p </t>
  </si>
  <si>
    <t>Kommunikationsnät 3, 100p</t>
  </si>
  <si>
    <t>Larm-, övervaknings- och säkerhetssystem, 100p</t>
  </si>
  <si>
    <t>Kurskostnad per vecka</t>
  </si>
  <si>
    <t>Estimerad boendekostnad per vecka</t>
  </si>
  <si>
    <t>ÅR 1</t>
  </si>
  <si>
    <t>Intäkt år 1</t>
  </si>
  <si>
    <t>ÅR 2</t>
  </si>
  <si>
    <t>Fakturerbar tid år 1</t>
  </si>
  <si>
    <t>Fakturerbar tid år 2</t>
  </si>
  <si>
    <t>Intäkt år 2</t>
  </si>
  <si>
    <t>Fyll i de orangefärgade fälten för att färdigställa kalkylen</t>
  </si>
  <si>
    <t>Dagliga resor (restillägg)</t>
  </si>
  <si>
    <t>Löneunderlaget hämtas från kalkylen i fliken Totalkostad lön, framtagen av Avdelningen Bransch på Intallatörsföretagen</t>
  </si>
  <si>
    <r>
      <rPr>
        <sz val="12"/>
        <color theme="1"/>
        <rFont val="Arial"/>
        <family val="2"/>
        <scheme val="major"/>
      </rPr>
      <t>Den genomsnittliga sjukfrånvaron anges i ruta B10. 
Ange procentsats för skyddskläder i ruta C30.</t>
    </r>
    <r>
      <rPr>
        <sz val="11"/>
        <color theme="1"/>
        <rFont val="Arial"/>
        <family val="2"/>
        <scheme val="major"/>
      </rPr>
      <t xml:space="preserve">
</t>
    </r>
    <r>
      <rPr>
        <b/>
        <sz val="9"/>
        <color theme="1"/>
        <rFont val="Arial"/>
        <family val="2"/>
        <scheme val="major"/>
      </rPr>
      <t xml:space="preserve">(används Tab tangenten för att förflytta dig mellan de orange fälten)
&gt;&gt; </t>
    </r>
    <r>
      <rPr>
        <i/>
        <sz val="9"/>
        <color theme="1"/>
        <rFont val="Arial"/>
        <family val="2"/>
        <scheme val="major"/>
      </rPr>
      <t>Information om månadslön och resetillägg (dagliga resor) hämtas från fliken Investering företagslärling</t>
    </r>
  </si>
  <si>
    <t>Hösttermin</t>
  </si>
  <si>
    <t>Vårtermin</t>
  </si>
  <si>
    <t>De grå cellerna går att ändra och ger då effekt i sammanräkningen på fliken Investering företagslärling</t>
  </si>
  <si>
    <t>Total intäkt under företagslärlingsutbildningen</t>
  </si>
  <si>
    <t>Total lönekostnad (två år)</t>
  </si>
  <si>
    <t>Total Intäkt (två år)</t>
  </si>
  <si>
    <t>Estimat kostnad resor och boende kursveckor i Nyköping</t>
  </si>
  <si>
    <t>Fakturerbar tid per år för utbildad medarbetare</t>
  </si>
  <si>
    <t>ELINSTALLATÖR</t>
  </si>
  <si>
    <t>TELETEKNIKER</t>
  </si>
  <si>
    <t>LARM/SÄKTEKNIKER</t>
  </si>
  <si>
    <t>50 % rabatt på kurskostnaden som är angiven i fliken Utbildningsplan</t>
  </si>
  <si>
    <t>5,26 % av Lön</t>
  </si>
  <si>
    <t>0,24 % av Lön</t>
  </si>
  <si>
    <t>30 % av Månadslön över 40 250 kr</t>
  </si>
  <si>
    <t xml:space="preserve">1,50 % av Lön </t>
  </si>
  <si>
    <t>INVESTERING FÖRETAGSLÄRLING (2019 års värden)</t>
  </si>
  <si>
    <t>Beräknat traktamente och resetillägg</t>
  </si>
  <si>
    <t xml:space="preserve">Gå till fliken "Utbildningsplan" för att lägga in värde för resa, boende, traktamente och resetillägg. </t>
  </si>
  <si>
    <t>Estimerad reskostnad per vecka</t>
  </si>
  <si>
    <t>ex bil, tåg, flyg</t>
  </si>
  <si>
    <t>Hotell ca 1000 kr per natt (4 nätter; mån, tis, ons, tor) - INSU:s ramavtal</t>
  </si>
  <si>
    <t>Tillkommande kurskostnad för företag ej anslutna till INS-avtalet</t>
  </si>
  <si>
    <t>Totalt för företag ansluten INS-avtalet*</t>
  </si>
  <si>
    <r>
      <t xml:space="preserve">Totalt för </t>
    </r>
    <r>
      <rPr>
        <b/>
        <u/>
        <sz val="12"/>
        <color theme="1"/>
        <rFont val="Arial"/>
        <family val="2"/>
        <scheme val="major"/>
      </rPr>
      <t>företag EJ</t>
    </r>
    <r>
      <rPr>
        <b/>
        <sz val="12"/>
        <color theme="1"/>
        <rFont val="Arial"/>
        <family val="2"/>
        <scheme val="major"/>
      </rPr>
      <t xml:space="preserve"> ansluten INS-avtalet*</t>
    </r>
  </si>
  <si>
    <r>
      <t xml:space="preserve">Avdrag </t>
    </r>
    <r>
      <rPr>
        <u/>
        <sz val="8"/>
        <color theme="1"/>
        <rFont val="Arial"/>
        <family val="2"/>
        <scheme val="major"/>
      </rPr>
      <t>ej</t>
    </r>
    <r>
      <rPr>
        <sz val="8"/>
        <color theme="1"/>
        <rFont val="Arial"/>
        <family val="2"/>
        <scheme val="major"/>
      </rPr>
      <t xml:space="preserve"> fakturerbar tid (%)</t>
    </r>
  </si>
  <si>
    <t>Total fakturerbar tid utbildad medarbetare två år</t>
  </si>
  <si>
    <t>Avdrag timmar kurser INSU 40 tim/vecka</t>
  </si>
  <si>
    <t>Beräkning kan ses i fliken "Totalkostnad lön"</t>
  </si>
  <si>
    <t>*För företag anslutna till Installationsavtalet (INS) är kurserna vid INSU kostnadsfria (punkten 3 i övereskommelse till Installationsavtalet om företagslärling)</t>
  </si>
  <si>
    <t>Kursveckor Katrineholm</t>
  </si>
  <si>
    <t>FÖRETAGSLÄRLING; kurser vid EUU (blivande INSU) i Katrineholm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</si>
</sst>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r&quot;_-;\-* #,##0.00\ &quot;kr&quot;_-;_-* &quot;-&quot;??\ &quot;kr&quot;_-;_-@_-"/>
    <numFmt numFmtId="164" formatCode="0.0%"/>
    <numFmt numFmtId="165" formatCode="0.0"/>
    <numFmt numFmtId="166" formatCode="_-* #,##0\ &quot;kr&quot;_-;\-* #,##0\ &quot;kr&quot;_-;_-* &quot;-&quot;??\ &quot;kr&quot;_-;_-@_-"/>
    <numFmt numFmtId="167" formatCode="#,##0.0"/>
  </numFmts>
  <fonts count="50" x14ac:knownFonts="1">
    <font>
      <sz val="11"/>
      <color theme="1"/>
      <name val="Cambria"/>
      <family val="2"/>
      <scheme val="minor"/>
    </font>
    <font>
      <sz val="11"/>
      <color theme="1"/>
      <name val="Arial"/>
      <family val="2"/>
      <scheme val="major"/>
    </font>
    <font>
      <sz val="11"/>
      <color theme="1"/>
      <name val="Cambria"/>
      <family val="2"/>
      <scheme val="minor"/>
    </font>
    <font>
      <sz val="11"/>
      <color rgb="FF3F3F76"/>
      <name val="Cambria"/>
      <family val="2"/>
      <scheme val="minor"/>
    </font>
    <font>
      <b/>
      <sz val="11"/>
      <color rgb="FFFA7D00"/>
      <name val="Cambria"/>
      <family val="2"/>
      <scheme val="minor"/>
    </font>
    <font>
      <sz val="8"/>
      <color theme="1"/>
      <name val="Arial"/>
      <family val="2"/>
      <scheme val="major"/>
    </font>
    <font>
      <b/>
      <sz val="10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color rgb="FF232323"/>
      <name val="Arial"/>
      <family val="2"/>
    </font>
    <font>
      <b/>
      <sz val="14"/>
      <color rgb="FF232323"/>
      <name val="Arial"/>
      <family val="2"/>
    </font>
    <font>
      <sz val="10"/>
      <color rgb="FF232323"/>
      <name val="Arial"/>
      <family val="2"/>
    </font>
    <font>
      <b/>
      <sz val="10"/>
      <color rgb="FF232323"/>
      <name val="Arial"/>
      <family val="2"/>
    </font>
    <font>
      <sz val="8"/>
      <color rgb="FF232323"/>
      <name val="Arial"/>
      <family val="2"/>
    </font>
    <font>
      <i/>
      <sz val="9"/>
      <color rgb="FF232323"/>
      <name val="Arial"/>
      <family val="2"/>
    </font>
    <font>
      <b/>
      <i/>
      <sz val="9"/>
      <color rgb="FF232323"/>
      <name val="Arial"/>
      <family val="2"/>
    </font>
    <font>
      <b/>
      <sz val="8"/>
      <color rgb="FF232323"/>
      <name val="Arial"/>
      <family val="2"/>
    </font>
    <font>
      <b/>
      <sz val="12"/>
      <color rgb="FF23232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Arial"/>
      <family val="2"/>
      <scheme val="major"/>
    </font>
    <font>
      <b/>
      <sz val="9"/>
      <color theme="1"/>
      <name val="Arial"/>
      <family val="2"/>
      <scheme val="major"/>
    </font>
    <font>
      <sz val="12"/>
      <color theme="1"/>
      <name val="Arial"/>
      <family val="2"/>
      <scheme val="major"/>
    </font>
    <font>
      <sz val="9"/>
      <color theme="1"/>
      <name val="Arial"/>
      <family val="2"/>
      <scheme val="major"/>
    </font>
    <font>
      <i/>
      <sz val="11"/>
      <color theme="1"/>
      <name val="Arial"/>
      <family val="2"/>
      <scheme val="major"/>
    </font>
    <font>
      <b/>
      <i/>
      <sz val="14"/>
      <color theme="1"/>
      <name val="Arial"/>
      <family val="2"/>
      <scheme val="major"/>
    </font>
    <font>
      <i/>
      <sz val="10"/>
      <color theme="1"/>
      <name val="Arial"/>
      <family val="2"/>
      <scheme val="major"/>
    </font>
    <font>
      <i/>
      <sz val="9"/>
      <color theme="1"/>
      <name val="Arial"/>
      <family val="2"/>
      <scheme val="major"/>
    </font>
    <font>
      <i/>
      <sz val="8"/>
      <color theme="1"/>
      <name val="Arial"/>
      <family val="2"/>
      <scheme val="major"/>
    </font>
    <font>
      <i/>
      <sz val="8"/>
      <color theme="0" tint="-0.499984740745262"/>
      <name val="Arial"/>
      <family val="2"/>
      <scheme val="major"/>
    </font>
    <font>
      <b/>
      <i/>
      <sz val="9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b/>
      <u val="singleAccounting"/>
      <sz val="10"/>
      <color theme="1"/>
      <name val="Arial"/>
      <family val="2"/>
      <scheme val="major"/>
    </font>
    <font>
      <u val="singleAccounting"/>
      <sz val="10"/>
      <color theme="1"/>
      <name val="Arial"/>
      <family val="2"/>
      <scheme val="major"/>
    </font>
    <font>
      <u/>
      <sz val="10"/>
      <color theme="1"/>
      <name val="Arial"/>
      <family val="2"/>
      <scheme val="major"/>
    </font>
    <font>
      <b/>
      <sz val="12"/>
      <color theme="1"/>
      <name val="Arial"/>
      <family val="2"/>
      <scheme val="major"/>
    </font>
    <font>
      <b/>
      <u/>
      <sz val="12"/>
      <color theme="1"/>
      <name val="Arial"/>
      <family val="2"/>
      <scheme val="major"/>
    </font>
    <font>
      <b/>
      <sz val="18"/>
      <color theme="1"/>
      <name val="Arial"/>
      <family val="2"/>
      <scheme val="major"/>
    </font>
    <font>
      <i/>
      <sz val="11"/>
      <color theme="0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i/>
      <sz val="9"/>
      <color theme="0"/>
      <name val="Arial"/>
      <family val="2"/>
      <scheme val="major"/>
    </font>
    <font>
      <b/>
      <sz val="12"/>
      <name val="Arial"/>
      <family val="2"/>
      <scheme val="major"/>
    </font>
    <font>
      <b/>
      <i/>
      <sz val="11"/>
      <color theme="0"/>
      <name val="Arial"/>
      <family val="2"/>
      <scheme val="major"/>
    </font>
    <font>
      <b/>
      <sz val="14"/>
      <color theme="1"/>
      <name val="Arial"/>
      <family val="2"/>
      <scheme val="major"/>
    </font>
    <font>
      <i/>
      <sz val="8"/>
      <color rgb="FF232323"/>
      <name val="Arial"/>
      <family val="2"/>
    </font>
    <font>
      <b/>
      <sz val="16"/>
      <color theme="1"/>
      <name val="Arial"/>
      <family val="2"/>
      <scheme val="major"/>
    </font>
    <font>
      <sz val="11"/>
      <name val="Arial"/>
      <family val="2"/>
      <scheme val="major"/>
    </font>
    <font>
      <b/>
      <sz val="11"/>
      <name val="Arial"/>
      <family val="2"/>
      <scheme val="major"/>
    </font>
    <font>
      <b/>
      <sz val="10"/>
      <name val="Arial"/>
      <family val="2"/>
      <scheme val="major"/>
    </font>
    <font>
      <b/>
      <i/>
      <sz val="10"/>
      <color theme="0"/>
      <name val="Arial"/>
      <family val="2"/>
      <scheme val="major"/>
    </font>
    <font>
      <u/>
      <sz val="8"/>
      <color theme="1"/>
      <name val="Arial"/>
      <family val="2"/>
      <scheme val="major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C4E5B6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5A9B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/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1" applyNumberFormat="0" applyAlignment="0" applyProtection="0"/>
    <xf numFmtId="0" fontId="4" fillId="3" borderId="1" applyNumberFormat="0" applyAlignment="0" applyProtection="0"/>
    <xf numFmtId="0" fontId="2" fillId="4" borderId="2" applyNumberFormat="0" applyFont="0" applyAlignment="0" applyProtection="0"/>
    <xf numFmtId="44" fontId="2" fillId="0" borderId="0" applyFont="0" applyFill="0" applyBorder="0" applyAlignment="0" applyProtection="0"/>
  </cellStyleXfs>
  <cellXfs count="313">
    <xf numFmtId="0" fontId="0" fillId="0" borderId="0" xfId="0"/>
    <xf numFmtId="44" fontId="10" fillId="0" borderId="9" xfId="1" applyFont="1" applyBorder="1" applyAlignment="1">
      <alignment horizontal="right" vertical="center" wrapText="1"/>
    </xf>
    <xf numFmtId="44" fontId="10" fillId="0" borderId="8" xfId="1" applyFont="1" applyBorder="1" applyAlignment="1">
      <alignment horizontal="right" vertical="center" wrapText="1"/>
    </xf>
    <xf numFmtId="44" fontId="4" fillId="3" borderId="5" xfId="4" applyNumberFormat="1" applyBorder="1" applyAlignment="1">
      <alignment horizontal="right" vertical="center" wrapText="1"/>
    </xf>
    <xf numFmtId="44" fontId="3" fillId="2" borderId="1" xfId="3" applyNumberFormat="1" applyProtection="1">
      <protection locked="0"/>
    </xf>
    <xf numFmtId="165" fontId="3" fillId="2" borderId="8" xfId="3" applyNumberForma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7" fillId="0" borderId="0" xfId="0" applyFont="1"/>
    <xf numFmtId="0" fontId="8" fillId="5" borderId="5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right" vertical="center" wrapText="1"/>
    </xf>
    <xf numFmtId="0" fontId="10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10" fontId="1" fillId="0" borderId="0" xfId="0" applyNumberFormat="1" applyFont="1"/>
    <xf numFmtId="0" fontId="11" fillId="0" borderId="1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10" fontId="1" fillId="0" borderId="15" xfId="0" applyNumberFormat="1" applyFont="1" applyBorder="1" applyAlignment="1">
      <alignment vertical="center"/>
    </xf>
    <xf numFmtId="0" fontId="10" fillId="0" borderId="12" xfId="0" applyFont="1" applyBorder="1" applyAlignment="1">
      <alignment vertical="center" wrapText="1"/>
    </xf>
    <xf numFmtId="0" fontId="1" fillId="0" borderId="0" xfId="0" applyFont="1"/>
    <xf numFmtId="0" fontId="12" fillId="0" borderId="9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0" fillId="0" borderId="25" xfId="0" applyFont="1" applyBorder="1" applyAlignment="1">
      <alignment horizontal="right" vertical="center" wrapText="1"/>
    </xf>
    <xf numFmtId="44" fontId="10" fillId="0" borderId="11" xfId="1" applyFont="1" applyBorder="1" applyAlignment="1">
      <alignment horizontal="right" vertical="center" wrapText="1"/>
    </xf>
    <xf numFmtId="0" fontId="3" fillId="2" borderId="26" xfId="3" applyBorder="1" applyAlignment="1">
      <alignment horizontal="center" vertical="center" wrapText="1"/>
    </xf>
    <xf numFmtId="1" fontId="3" fillId="2" borderId="1" xfId="3" applyNumberFormat="1" applyProtection="1">
      <protection locked="0"/>
    </xf>
    <xf numFmtId="44" fontId="3" fillId="2" borderId="1" xfId="1" applyFont="1" applyFill="1" applyBorder="1" applyProtection="1">
      <protection locked="0"/>
    </xf>
    <xf numFmtId="0" fontId="1" fillId="0" borderId="0" xfId="0" applyFont="1" applyProtection="1"/>
    <xf numFmtId="0" fontId="7" fillId="0" borderId="0" xfId="0" applyFont="1" applyProtection="1"/>
    <xf numFmtId="0" fontId="19" fillId="0" borderId="0" xfId="0" applyFont="1" applyAlignment="1" applyProtection="1">
      <alignment wrapText="1"/>
    </xf>
    <xf numFmtId="44" fontId="1" fillId="0" borderId="0" xfId="0" applyNumberFormat="1" applyFont="1" applyProtection="1"/>
    <xf numFmtId="44" fontId="1" fillId="0" borderId="0" xfId="1" applyFont="1" applyProtection="1"/>
    <xf numFmtId="0" fontId="8" fillId="5" borderId="5" xfId="0" applyFont="1" applyFill="1" applyBorder="1" applyAlignment="1" applyProtection="1">
      <alignment vertical="center" wrapText="1"/>
    </xf>
    <xf numFmtId="0" fontId="9" fillId="5" borderId="6" xfId="0" applyFont="1" applyFill="1" applyBorder="1" applyAlignment="1" applyProtection="1">
      <alignment vertical="center" wrapText="1"/>
    </xf>
    <xf numFmtId="0" fontId="9" fillId="5" borderId="6" xfId="0" applyFont="1" applyFill="1" applyBorder="1" applyAlignment="1" applyProtection="1">
      <alignment horizontal="right" vertical="center" wrapText="1"/>
    </xf>
    <xf numFmtId="0" fontId="10" fillId="0" borderId="8" xfId="0" applyFont="1" applyBorder="1" applyAlignment="1" applyProtection="1">
      <alignment vertical="center" wrapText="1"/>
    </xf>
    <xf numFmtId="0" fontId="11" fillId="0" borderId="9" xfId="0" applyFont="1" applyBorder="1" applyAlignment="1" applyProtection="1">
      <alignment vertical="center" wrapText="1"/>
    </xf>
    <xf numFmtId="44" fontId="10" fillId="0" borderId="9" xfId="1" applyFont="1" applyBorder="1" applyAlignment="1" applyProtection="1">
      <alignment horizontal="right" vertical="center" wrapText="1"/>
    </xf>
    <xf numFmtId="10" fontId="1" fillId="0" borderId="0" xfId="0" applyNumberFormat="1" applyFont="1" applyProtection="1"/>
    <xf numFmtId="0" fontId="11" fillId="0" borderId="11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vertical="center" wrapText="1"/>
    </xf>
    <xf numFmtId="0" fontId="12" fillId="0" borderId="11" xfId="0" applyFont="1" applyBorder="1" applyAlignment="1" applyProtection="1">
      <alignment vertical="center" wrapText="1"/>
    </xf>
    <xf numFmtId="44" fontId="10" fillId="0" borderId="8" xfId="1" applyFont="1" applyBorder="1" applyAlignment="1" applyProtection="1">
      <alignment vertical="center" wrapText="1"/>
    </xf>
    <xf numFmtId="0" fontId="12" fillId="0" borderId="9" xfId="0" applyFont="1" applyBorder="1" applyAlignment="1" applyProtection="1">
      <alignment vertical="center" wrapText="1"/>
    </xf>
    <xf numFmtId="10" fontId="1" fillId="0" borderId="15" xfId="0" applyNumberFormat="1" applyFont="1" applyBorder="1" applyAlignment="1" applyProtection="1">
      <alignment vertical="center"/>
    </xf>
    <xf numFmtId="0" fontId="13" fillId="0" borderId="8" xfId="0" applyFont="1" applyBorder="1" applyAlignment="1" applyProtection="1">
      <alignment vertical="center" wrapText="1"/>
    </xf>
    <xf numFmtId="0" fontId="14" fillId="0" borderId="9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0" fontId="15" fillId="0" borderId="10" xfId="0" applyFont="1" applyBorder="1" applyAlignment="1" applyProtection="1">
      <alignment vertical="center" wrapText="1"/>
    </xf>
    <xf numFmtId="0" fontId="12" fillId="0" borderId="17" xfId="0" applyFont="1" applyBorder="1" applyAlignment="1" applyProtection="1">
      <alignment vertical="center" wrapText="1"/>
    </xf>
    <xf numFmtId="44" fontId="4" fillId="3" borderId="5" xfId="4" applyNumberFormat="1" applyBorder="1" applyAlignment="1" applyProtection="1">
      <alignment horizontal="right" vertical="center" wrapText="1"/>
    </xf>
    <xf numFmtId="0" fontId="1" fillId="0" borderId="0" xfId="0" applyFont="1" applyAlignment="1">
      <alignment horizontal="right"/>
    </xf>
    <xf numFmtId="166" fontId="1" fillId="0" borderId="0" xfId="0" applyNumberFormat="1" applyFont="1"/>
    <xf numFmtId="0" fontId="23" fillId="0" borderId="0" xfId="0" applyFont="1"/>
    <xf numFmtId="0" fontId="26" fillId="0" borderId="0" xfId="0" applyFont="1"/>
    <xf numFmtId="0" fontId="27" fillId="0" borderId="0" xfId="0" applyFont="1"/>
    <xf numFmtId="0" fontId="1" fillId="0" borderId="9" xfId="0" applyFont="1" applyBorder="1" applyAlignment="1">
      <alignment horizontal="right"/>
    </xf>
    <xf numFmtId="44" fontId="3" fillId="2" borderId="1" xfId="1" applyFont="1" applyFill="1" applyBorder="1" applyProtection="1"/>
    <xf numFmtId="0" fontId="20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44" fontId="3" fillId="0" borderId="1" xfId="3" applyNumberFormat="1" applyFill="1" applyProtection="1"/>
    <xf numFmtId="0" fontId="5" fillId="0" borderId="12" xfId="0" applyFont="1" applyBorder="1" applyAlignment="1">
      <alignment horizontal="center" textRotation="90" wrapText="1"/>
    </xf>
    <xf numFmtId="0" fontId="1" fillId="0" borderId="13" xfId="0" applyFont="1" applyBorder="1" applyAlignment="1">
      <alignment horizontal="right"/>
    </xf>
    <xf numFmtId="0" fontId="30" fillId="6" borderId="0" xfId="0" applyFont="1" applyFill="1" applyAlignment="1">
      <alignment horizontal="right"/>
    </xf>
    <xf numFmtId="166" fontId="19" fillId="0" borderId="0" xfId="1" applyNumberFormat="1" applyFont="1" applyBorder="1" applyAlignment="1">
      <alignment horizontal="center"/>
    </xf>
    <xf numFmtId="166" fontId="19" fillId="0" borderId="15" xfId="1" applyNumberFormat="1" applyFont="1" applyBorder="1" applyAlignment="1">
      <alignment horizontal="center"/>
    </xf>
    <xf numFmtId="166" fontId="31" fillId="0" borderId="11" xfId="0" applyNumberFormat="1" applyFont="1" applyBorder="1" applyAlignment="1">
      <alignment horizontal="right"/>
    </xf>
    <xf numFmtId="0" fontId="32" fillId="0" borderId="15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1" fontId="5" fillId="0" borderId="0" xfId="1" applyNumberFormat="1" applyFont="1" applyBorder="1" applyAlignment="1">
      <alignment horizontal="center"/>
    </xf>
    <xf numFmtId="1" fontId="5" fillId="0" borderId="15" xfId="1" applyNumberFormat="1" applyFont="1" applyBorder="1" applyAlignment="1">
      <alignment horizontal="center"/>
    </xf>
    <xf numFmtId="167" fontId="5" fillId="0" borderId="11" xfId="0" applyNumberFormat="1" applyFont="1" applyBorder="1" applyAlignment="1">
      <alignment horizontal="right"/>
    </xf>
    <xf numFmtId="167" fontId="5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9" fontId="5" fillId="0" borderId="0" xfId="2" applyFont="1" applyBorder="1" applyAlignment="1">
      <alignment horizontal="center"/>
    </xf>
    <xf numFmtId="9" fontId="5" fillId="0" borderId="15" xfId="2" applyFont="1" applyBorder="1" applyAlignment="1">
      <alignment horizontal="center"/>
    </xf>
    <xf numFmtId="167" fontId="19" fillId="0" borderId="36" xfId="0" applyNumberFormat="1" applyFont="1" applyBorder="1" applyAlignment="1">
      <alignment horizontal="right"/>
    </xf>
    <xf numFmtId="167" fontId="27" fillId="0" borderId="11" xfId="0" applyNumberFormat="1" applyFont="1" applyBorder="1" applyAlignment="1">
      <alignment horizontal="right"/>
    </xf>
    <xf numFmtId="0" fontId="33" fillId="0" borderId="0" xfId="0" applyFont="1" applyBorder="1" applyAlignment="1">
      <alignment horizontal="right"/>
    </xf>
    <xf numFmtId="167" fontId="19" fillId="0" borderId="11" xfId="0" applyNumberFormat="1" applyFont="1" applyBorder="1" applyAlignment="1">
      <alignment horizontal="right"/>
    </xf>
    <xf numFmtId="9" fontId="5" fillId="15" borderId="0" xfId="2" applyFont="1" applyFill="1" applyBorder="1" applyAlignment="1" applyProtection="1">
      <alignment horizontal="center"/>
      <protection locked="0"/>
    </xf>
    <xf numFmtId="0" fontId="27" fillId="0" borderId="0" xfId="0" applyFont="1" applyBorder="1" applyAlignment="1">
      <alignment horizontal="right"/>
    </xf>
    <xf numFmtId="167" fontId="5" fillId="15" borderId="11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Border="1" applyAlignment="1">
      <alignment horizontal="right"/>
    </xf>
    <xf numFmtId="166" fontId="19" fillId="0" borderId="37" xfId="0" applyNumberFormat="1" applyFont="1" applyBorder="1" applyAlignment="1">
      <alignment horizontal="right"/>
    </xf>
    <xf numFmtId="166" fontId="19" fillId="0" borderId="11" xfId="0" applyNumberFormat="1" applyFont="1" applyBorder="1" applyAlignment="1">
      <alignment horizontal="right"/>
    </xf>
    <xf numFmtId="2" fontId="19" fillId="0" borderId="0" xfId="1" applyNumberFormat="1" applyFont="1" applyBorder="1" applyAlignment="1">
      <alignment horizontal="center"/>
    </xf>
    <xf numFmtId="2" fontId="5" fillId="0" borderId="15" xfId="1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5" fillId="0" borderId="0" xfId="1" applyNumberFormat="1" applyFont="1" applyBorder="1" applyAlignment="1">
      <alignment horizontal="center"/>
    </xf>
    <xf numFmtId="166" fontId="5" fillId="0" borderId="11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30" fillId="7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166" fontId="19" fillId="16" borderId="37" xfId="0" applyNumberFormat="1" applyFont="1" applyFill="1" applyBorder="1" applyAlignment="1">
      <alignment horizontal="right"/>
    </xf>
    <xf numFmtId="166" fontId="5" fillId="0" borderId="11" xfId="0" applyNumberFormat="1" applyFont="1" applyBorder="1" applyAlignment="1" applyProtection="1">
      <alignment horizontal="right"/>
      <protection locked="0"/>
    </xf>
    <xf numFmtId="166" fontId="5" fillId="0" borderId="15" xfId="0" applyNumberFormat="1" applyFont="1" applyBorder="1" applyAlignment="1">
      <alignment horizontal="center"/>
    </xf>
    <xf numFmtId="0" fontId="36" fillId="0" borderId="0" xfId="0" applyFont="1" applyBorder="1"/>
    <xf numFmtId="0" fontId="7" fillId="0" borderId="0" xfId="0" applyFont="1" applyBorder="1"/>
    <xf numFmtId="0" fontId="21" fillId="0" borderId="0" xfId="0" applyFont="1" applyBorder="1"/>
    <xf numFmtId="0" fontId="1" fillId="0" borderId="0" xfId="0" applyFont="1" applyBorder="1" applyAlignment="1">
      <alignment horizontal="center"/>
    </xf>
    <xf numFmtId="0" fontId="23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5" xfId="0" applyFont="1" applyBorder="1"/>
    <xf numFmtId="0" fontId="1" fillId="0" borderId="11" xfId="0" applyFont="1" applyBorder="1"/>
    <xf numFmtId="0" fontId="22" fillId="0" borderId="15" xfId="0" applyFont="1" applyFill="1" applyBorder="1" applyAlignment="1">
      <alignment horizontal="right" vertical="center"/>
    </xf>
    <xf numFmtId="166" fontId="22" fillId="0" borderId="11" xfId="1" applyNumberFormat="1" applyFont="1" applyFill="1" applyBorder="1" applyAlignment="1">
      <alignment horizontal="right" vertical="center" wrapText="1"/>
    </xf>
    <xf numFmtId="0" fontId="21" fillId="0" borderId="0" xfId="0" applyFont="1"/>
    <xf numFmtId="0" fontId="20" fillId="0" borderId="15" xfId="0" applyFont="1" applyFill="1" applyBorder="1" applyAlignment="1">
      <alignment horizontal="right" vertical="center"/>
    </xf>
    <xf numFmtId="166" fontId="20" fillId="0" borderId="11" xfId="1" applyNumberFormat="1" applyFont="1" applyFill="1" applyBorder="1" applyAlignment="1">
      <alignment horizontal="right" vertical="center" wrapText="1"/>
    </xf>
    <xf numFmtId="0" fontId="39" fillId="13" borderId="14" xfId="0" applyFont="1" applyFill="1" applyBorder="1" applyAlignment="1">
      <alignment horizontal="right" vertical="center"/>
    </xf>
    <xf numFmtId="166" fontId="39" fillId="13" borderId="9" xfId="1" applyNumberFormat="1" applyFont="1" applyFill="1" applyBorder="1" applyAlignment="1">
      <alignment horizontal="right" vertical="center" wrapText="1"/>
    </xf>
    <xf numFmtId="0" fontId="40" fillId="0" borderId="0" xfId="0" applyFont="1" applyFill="1" applyBorder="1" applyAlignment="1">
      <alignment vertical="center"/>
    </xf>
    <xf numFmtId="0" fontId="1" fillId="0" borderId="12" xfId="0" applyFont="1" applyBorder="1"/>
    <xf numFmtId="0" fontId="1" fillId="0" borderId="13" xfId="0" applyFont="1" applyBorder="1"/>
    <xf numFmtId="166" fontId="5" fillId="0" borderId="0" xfId="1" applyNumberFormat="1" applyFont="1" applyBorder="1"/>
    <xf numFmtId="0" fontId="41" fillId="12" borderId="27" xfId="0" applyFont="1" applyFill="1" applyBorder="1" applyAlignment="1">
      <alignment horizontal="right" vertical="center"/>
    </xf>
    <xf numFmtId="0" fontId="41" fillId="12" borderId="28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7" fillId="16" borderId="27" xfId="0" applyFont="1" applyFill="1" applyBorder="1" applyAlignment="1">
      <alignment horizontal="center" vertical="center"/>
    </xf>
    <xf numFmtId="0" fontId="7" fillId="16" borderId="28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7" fillId="8" borderId="28" xfId="0" applyFont="1" applyFill="1" applyBorder="1" applyAlignment="1">
      <alignment horizontal="center" vertical="center"/>
    </xf>
    <xf numFmtId="0" fontId="7" fillId="9" borderId="27" xfId="0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 vertical="center"/>
    </xf>
    <xf numFmtId="0" fontId="7" fillId="10" borderId="27" xfId="0" applyFont="1" applyFill="1" applyBorder="1" applyAlignment="1">
      <alignment horizontal="center" vertical="center"/>
    </xf>
    <xf numFmtId="0" fontId="7" fillId="10" borderId="28" xfId="0" applyFont="1" applyFill="1" applyBorder="1" applyAlignment="1">
      <alignment horizontal="center" vertical="center"/>
    </xf>
    <xf numFmtId="0" fontId="7" fillId="11" borderId="27" xfId="0" applyFont="1" applyFill="1" applyBorder="1" applyAlignment="1">
      <alignment horizontal="center" vertical="center"/>
    </xf>
    <xf numFmtId="0" fontId="7" fillId="11" borderId="28" xfId="0" applyFont="1" applyFill="1" applyBorder="1" applyAlignment="1">
      <alignment horizontal="center" vertical="center"/>
    </xf>
    <xf numFmtId="0" fontId="1" fillId="16" borderId="29" xfId="0" applyFont="1" applyFill="1" applyBorder="1" applyAlignment="1">
      <alignment horizontal="center"/>
    </xf>
    <xf numFmtId="0" fontId="1" fillId="16" borderId="30" xfId="0" applyFont="1" applyFill="1" applyBorder="1" applyAlignment="1">
      <alignment horizontal="center"/>
    </xf>
    <xf numFmtId="0" fontId="1" fillId="8" borderId="29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" fillId="9" borderId="30" xfId="0" applyFont="1" applyFill="1" applyBorder="1" applyAlignment="1">
      <alignment horizontal="center"/>
    </xf>
    <xf numFmtId="0" fontId="1" fillId="10" borderId="29" xfId="0" applyFont="1" applyFill="1" applyBorder="1" applyAlignment="1">
      <alignment horizontal="center"/>
    </xf>
    <xf numFmtId="0" fontId="1" fillId="10" borderId="30" xfId="0" applyFont="1" applyFill="1" applyBorder="1" applyAlignment="1">
      <alignment horizontal="center"/>
    </xf>
    <xf numFmtId="0" fontId="1" fillId="11" borderId="29" xfId="0" applyFont="1" applyFill="1" applyBorder="1" applyAlignment="1">
      <alignment horizontal="center"/>
    </xf>
    <xf numFmtId="0" fontId="1" fillId="11" borderId="30" xfId="0" applyFont="1" applyFill="1" applyBorder="1" applyAlignment="1">
      <alignment horizontal="center"/>
    </xf>
    <xf numFmtId="0" fontId="1" fillId="16" borderId="32" xfId="0" applyFont="1" applyFill="1" applyBorder="1" applyAlignment="1">
      <alignment horizontal="center"/>
    </xf>
    <xf numFmtId="0" fontId="1" fillId="16" borderId="33" xfId="0" applyFont="1" applyFill="1" applyBorder="1" applyAlignment="1">
      <alignment horizontal="center"/>
    </xf>
    <xf numFmtId="0" fontId="1" fillId="8" borderId="32" xfId="0" applyFont="1" applyFill="1" applyBorder="1" applyAlignment="1">
      <alignment horizontal="center"/>
    </xf>
    <xf numFmtId="0" fontId="1" fillId="8" borderId="33" xfId="0" applyFont="1" applyFill="1" applyBorder="1" applyAlignment="1">
      <alignment horizontal="center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10" borderId="32" xfId="0" applyFont="1" applyFill="1" applyBorder="1" applyAlignment="1">
      <alignment horizontal="center"/>
    </xf>
    <xf numFmtId="0" fontId="1" fillId="10" borderId="33" xfId="0" applyFont="1" applyFill="1" applyBorder="1" applyAlignment="1">
      <alignment horizontal="center"/>
    </xf>
    <xf numFmtId="0" fontId="1" fillId="11" borderId="32" xfId="0" applyFont="1" applyFill="1" applyBorder="1" applyAlignment="1">
      <alignment horizontal="center"/>
    </xf>
    <xf numFmtId="0" fontId="1" fillId="11" borderId="3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14" borderId="29" xfId="0" applyFont="1" applyFill="1" applyBorder="1" applyAlignment="1">
      <alignment horizontal="center"/>
    </xf>
    <xf numFmtId="0" fontId="1" fillId="14" borderId="30" xfId="0" applyFont="1" applyFill="1" applyBorder="1" applyAlignment="1">
      <alignment horizontal="center"/>
    </xf>
    <xf numFmtId="0" fontId="1" fillId="14" borderId="32" xfId="0" applyFont="1" applyFill="1" applyBorder="1" applyAlignment="1">
      <alignment horizontal="center"/>
    </xf>
    <xf numFmtId="0" fontId="1" fillId="14" borderId="33" xfId="0" applyFont="1" applyFill="1" applyBorder="1" applyAlignment="1">
      <alignment horizontal="center"/>
    </xf>
    <xf numFmtId="0" fontId="7" fillId="16" borderId="34" xfId="0" applyFont="1" applyFill="1" applyBorder="1" applyAlignment="1">
      <alignment horizontal="center"/>
    </xf>
    <xf numFmtId="0" fontId="7" fillId="16" borderId="35" xfId="0" applyFont="1" applyFill="1" applyBorder="1" applyAlignment="1">
      <alignment horizontal="center"/>
    </xf>
    <xf numFmtId="0" fontId="7" fillId="8" borderId="34" xfId="0" applyFont="1" applyFill="1" applyBorder="1" applyAlignment="1">
      <alignment horizontal="center"/>
    </xf>
    <xf numFmtId="0" fontId="7" fillId="8" borderId="35" xfId="0" applyFont="1" applyFill="1" applyBorder="1" applyAlignment="1">
      <alignment horizontal="center"/>
    </xf>
    <xf numFmtId="0" fontId="7" fillId="9" borderId="34" xfId="0" applyFont="1" applyFill="1" applyBorder="1" applyAlignment="1">
      <alignment horizontal="center"/>
    </xf>
    <xf numFmtId="0" fontId="7" fillId="9" borderId="35" xfId="0" applyFont="1" applyFill="1" applyBorder="1" applyAlignment="1">
      <alignment horizontal="center"/>
    </xf>
    <xf numFmtId="0" fontId="7" fillId="14" borderId="34" xfId="0" applyFont="1" applyFill="1" applyBorder="1" applyAlignment="1">
      <alignment horizontal="center"/>
    </xf>
    <xf numFmtId="0" fontId="7" fillId="14" borderId="35" xfId="0" applyFont="1" applyFill="1" applyBorder="1" applyAlignment="1">
      <alignment horizontal="center"/>
    </xf>
    <xf numFmtId="0" fontId="7" fillId="11" borderId="34" xfId="0" applyFont="1" applyFill="1" applyBorder="1" applyAlignment="1">
      <alignment horizontal="center"/>
    </xf>
    <xf numFmtId="0" fontId="7" fillId="11" borderId="35" xfId="0" applyFont="1" applyFill="1" applyBorder="1" applyAlignment="1">
      <alignment horizontal="center"/>
    </xf>
    <xf numFmtId="0" fontId="7" fillId="10" borderId="34" xfId="0" applyFont="1" applyFill="1" applyBorder="1" applyAlignment="1">
      <alignment horizontal="center"/>
    </xf>
    <xf numFmtId="0" fontId="7" fillId="10" borderId="35" xfId="0" applyFont="1" applyFill="1" applyBorder="1" applyAlignment="1">
      <alignment horizontal="center"/>
    </xf>
    <xf numFmtId="0" fontId="42" fillId="15" borderId="0" xfId="0" applyFont="1" applyFill="1" applyAlignment="1">
      <alignment vertical="center"/>
    </xf>
    <xf numFmtId="166" fontId="5" fillId="17" borderId="0" xfId="1" applyNumberFormat="1" applyFont="1" applyFill="1" applyBorder="1" applyProtection="1">
      <protection locked="0"/>
    </xf>
    <xf numFmtId="0" fontId="29" fillId="0" borderId="0" xfId="0" applyFont="1"/>
    <xf numFmtId="0" fontId="27" fillId="0" borderId="0" xfId="0" applyFont="1" applyProtection="1"/>
    <xf numFmtId="44" fontId="43" fillId="0" borderId="0" xfId="1" applyFont="1" applyBorder="1" applyAlignment="1" applyProtection="1">
      <alignment vertical="center" wrapText="1"/>
    </xf>
    <xf numFmtId="0" fontId="28" fillId="0" borderId="0" xfId="0" applyFont="1" applyAlignment="1">
      <alignment wrapText="1"/>
    </xf>
    <xf numFmtId="0" fontId="44" fillId="0" borderId="0" xfId="0" applyFont="1"/>
    <xf numFmtId="0" fontId="27" fillId="0" borderId="0" xfId="0" applyFont="1" applyAlignment="1">
      <alignment horizontal="right" vertical="top" wrapText="1"/>
    </xf>
    <xf numFmtId="0" fontId="1" fillId="0" borderId="0" xfId="0" applyFont="1" applyAlignment="1"/>
    <xf numFmtId="0" fontId="37" fillId="12" borderId="31" xfId="0" applyFont="1" applyFill="1" applyBorder="1" applyAlignment="1"/>
    <xf numFmtId="0" fontId="37" fillId="12" borderId="30" xfId="0" applyFont="1" applyFill="1" applyBorder="1" applyAlignment="1"/>
    <xf numFmtId="0" fontId="45" fillId="0" borderId="0" xfId="0" applyFont="1" applyAlignment="1"/>
    <xf numFmtId="0" fontId="37" fillId="12" borderId="32" xfId="0" applyFont="1" applyFill="1" applyBorder="1" applyAlignment="1"/>
    <xf numFmtId="0" fontId="37" fillId="12" borderId="33" xfId="0" applyFont="1" applyFill="1" applyBorder="1" applyAlignment="1"/>
    <xf numFmtId="0" fontId="46" fillId="0" borderId="37" xfId="0" applyFont="1" applyBorder="1" applyAlignment="1"/>
    <xf numFmtId="3" fontId="41" fillId="12" borderId="34" xfId="0" applyNumberFormat="1" applyFont="1" applyFill="1" applyBorder="1" applyAlignment="1"/>
    <xf numFmtId="3" fontId="41" fillId="12" borderId="35" xfId="0" applyNumberFormat="1" applyFont="1" applyFill="1" applyBorder="1" applyAlignment="1"/>
    <xf numFmtId="0" fontId="47" fillId="0" borderId="37" xfId="0" applyFont="1" applyBorder="1" applyAlignment="1">
      <alignment vertical="center"/>
    </xf>
    <xf numFmtId="0" fontId="6" fillId="16" borderId="34" xfId="0" applyFont="1" applyFill="1" applyBorder="1" applyAlignment="1">
      <alignment horizontal="center" vertical="center"/>
    </xf>
    <xf numFmtId="0" fontId="6" fillId="16" borderId="35" xfId="0" applyFont="1" applyFill="1" applyBorder="1" applyAlignment="1">
      <alignment horizontal="center" vertical="center"/>
    </xf>
    <xf numFmtId="0" fontId="6" fillId="8" borderId="34" xfId="0" applyFont="1" applyFill="1" applyBorder="1" applyAlignment="1">
      <alignment horizontal="center" vertical="center"/>
    </xf>
    <xf numFmtId="0" fontId="6" fillId="8" borderId="35" xfId="0" applyFont="1" applyFill="1" applyBorder="1" applyAlignment="1">
      <alignment horizontal="center" vertical="center"/>
    </xf>
    <xf numFmtId="0" fontId="6" fillId="9" borderId="34" xfId="0" applyFont="1" applyFill="1" applyBorder="1" applyAlignment="1">
      <alignment horizontal="center" vertical="center"/>
    </xf>
    <xf numFmtId="0" fontId="6" fillId="9" borderId="35" xfId="0" applyFont="1" applyFill="1" applyBorder="1" applyAlignment="1">
      <alignment horizontal="center" vertical="center"/>
    </xf>
    <xf numFmtId="0" fontId="6" fillId="10" borderId="34" xfId="0" applyFont="1" applyFill="1" applyBorder="1" applyAlignment="1">
      <alignment horizontal="center" vertical="center"/>
    </xf>
    <xf numFmtId="0" fontId="6" fillId="10" borderId="35" xfId="0" applyFont="1" applyFill="1" applyBorder="1" applyAlignment="1">
      <alignment horizontal="center" vertical="center"/>
    </xf>
    <xf numFmtId="0" fontId="6" fillId="11" borderId="34" xfId="0" applyFont="1" applyFill="1" applyBorder="1" applyAlignment="1">
      <alignment horizontal="center" vertical="center"/>
    </xf>
    <xf numFmtId="0" fontId="6" fillId="11" borderId="35" xfId="0" applyFont="1" applyFill="1" applyBorder="1" applyAlignment="1">
      <alignment horizontal="center" vertical="center"/>
    </xf>
    <xf numFmtId="3" fontId="48" fillId="12" borderId="34" xfId="0" applyNumberFormat="1" applyFont="1" applyFill="1" applyBorder="1" applyAlignment="1">
      <alignment vertical="center"/>
    </xf>
    <xf numFmtId="3" fontId="48" fillId="12" borderId="35" xfId="0" applyNumberFormat="1" applyFont="1" applyFill="1" applyBorder="1" applyAlignment="1">
      <alignment vertical="center"/>
    </xf>
    <xf numFmtId="10" fontId="1" fillId="0" borderId="0" xfId="2" applyNumberFormat="1" applyFont="1" applyProtection="1"/>
    <xf numFmtId="0" fontId="5" fillId="18" borderId="0" xfId="0" applyFont="1" applyFill="1" applyBorder="1" applyAlignment="1">
      <alignment horizontal="right"/>
    </xf>
    <xf numFmtId="166" fontId="19" fillId="18" borderId="0" xfId="1" applyNumberFormat="1" applyFont="1" applyFill="1" applyBorder="1" applyAlignment="1">
      <alignment horizontal="center"/>
    </xf>
    <xf numFmtId="166" fontId="19" fillId="18" borderId="15" xfId="1" applyNumberFormat="1" applyFont="1" applyFill="1" applyBorder="1" applyAlignment="1">
      <alignment horizontal="center"/>
    </xf>
    <xf numFmtId="166" fontId="5" fillId="18" borderId="11" xfId="0" applyNumberFormat="1" applyFont="1" applyFill="1" applyBorder="1" applyAlignment="1">
      <alignment horizontal="right"/>
    </xf>
    <xf numFmtId="0" fontId="1" fillId="18" borderId="15" xfId="0" applyFont="1" applyFill="1" applyBorder="1" applyAlignment="1">
      <alignment horizontal="center"/>
    </xf>
    <xf numFmtId="166" fontId="5" fillId="18" borderId="15" xfId="0" applyNumberFormat="1" applyFont="1" applyFill="1" applyBorder="1" applyAlignment="1">
      <alignment horizontal="center"/>
    </xf>
    <xf numFmtId="0" fontId="34" fillId="18" borderId="0" xfId="0" applyFont="1" applyFill="1" applyAlignment="1">
      <alignment horizontal="right"/>
    </xf>
    <xf numFmtId="0" fontId="1" fillId="18" borderId="0" xfId="0" applyFont="1" applyFill="1" applyAlignment="1">
      <alignment horizontal="center"/>
    </xf>
    <xf numFmtId="166" fontId="19" fillId="18" borderId="37" xfId="0" applyNumberFormat="1" applyFont="1" applyFill="1" applyBorder="1" applyAlignment="1">
      <alignment horizontal="right"/>
    </xf>
    <xf numFmtId="0" fontId="7" fillId="18" borderId="15" xfId="0" applyFont="1" applyFill="1" applyBorder="1" applyAlignment="1">
      <alignment horizontal="center"/>
    </xf>
    <xf numFmtId="44" fontId="22" fillId="15" borderId="38" xfId="1" applyFont="1" applyFill="1" applyBorder="1" applyAlignment="1" applyProtection="1">
      <alignment horizontal="right"/>
      <protection locked="0"/>
    </xf>
    <xf numFmtId="3" fontId="5" fillId="0" borderId="0" xfId="1" applyNumberFormat="1" applyFont="1" applyBorder="1" applyAlignment="1">
      <alignment horizontal="center"/>
    </xf>
    <xf numFmtId="0" fontId="20" fillId="0" borderId="0" xfId="0" applyFont="1" applyBorder="1" applyAlignment="1">
      <alignment horizontal="right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left"/>
    </xf>
    <xf numFmtId="0" fontId="24" fillId="15" borderId="0" xfId="0" applyFont="1" applyFill="1" applyAlignment="1">
      <alignment horizontal="center" vertical="center" wrapText="1"/>
    </xf>
    <xf numFmtId="0" fontId="38" fillId="13" borderId="0" xfId="0" applyFont="1" applyFill="1" applyBorder="1" applyAlignment="1">
      <alignment horizontal="center" vertical="center"/>
    </xf>
    <xf numFmtId="0" fontId="7" fillId="16" borderId="7" xfId="0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41" fillId="12" borderId="7" xfId="0" applyFont="1" applyFill="1" applyBorder="1" applyAlignment="1">
      <alignment horizontal="center" vertical="center"/>
    </xf>
    <xf numFmtId="0" fontId="41" fillId="12" borderId="6" xfId="0" applyFont="1" applyFill="1" applyBorder="1" applyAlignment="1">
      <alignment horizontal="center" vertical="center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8" xfId="0" applyFont="1" applyBorder="1" applyAlignment="1" applyProtection="1">
      <alignment horizontal="left" vertical="center" wrapText="1"/>
    </xf>
    <xf numFmtId="44" fontId="10" fillId="0" borderId="10" xfId="1" applyFont="1" applyBorder="1" applyAlignment="1" applyProtection="1">
      <alignment horizontal="right" vertical="center" wrapText="1"/>
    </xf>
    <xf numFmtId="44" fontId="10" fillId="0" borderId="8" xfId="1" applyFont="1" applyBorder="1" applyAlignment="1" applyProtection="1">
      <alignment horizontal="right" vertical="center" wrapText="1"/>
    </xf>
    <xf numFmtId="164" fontId="1" fillId="0" borderId="15" xfId="2" applyNumberFormat="1" applyFont="1" applyBorder="1" applyAlignment="1" applyProtection="1">
      <alignment horizontal="right"/>
    </xf>
    <xf numFmtId="0" fontId="10" fillId="0" borderId="12" xfId="0" applyFont="1" applyBorder="1" applyAlignment="1" applyProtection="1">
      <alignment horizontal="right" vertical="center" wrapText="1"/>
    </xf>
    <xf numFmtId="0" fontId="10" fillId="0" borderId="13" xfId="0" applyFont="1" applyBorder="1" applyAlignment="1" applyProtection="1">
      <alignment horizontal="right" vertical="center" wrapText="1"/>
    </xf>
    <xf numFmtId="0" fontId="10" fillId="0" borderId="15" xfId="0" applyFont="1" applyBorder="1" applyAlignment="1" applyProtection="1">
      <alignment horizontal="right" vertical="center" wrapText="1"/>
    </xf>
    <xf numFmtId="0" fontId="10" fillId="0" borderId="11" xfId="0" applyFont="1" applyBorder="1" applyAlignment="1" applyProtection="1">
      <alignment horizontal="right" vertical="center" wrapText="1"/>
    </xf>
    <xf numFmtId="44" fontId="10" fillId="0" borderId="10" xfId="1" applyFont="1" applyBorder="1" applyAlignment="1" applyProtection="1">
      <alignment horizontal="center" vertical="center" wrapText="1"/>
    </xf>
    <xf numFmtId="44" fontId="10" fillId="0" borderId="16" xfId="1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left" vertical="center" wrapText="1"/>
    </xf>
    <xf numFmtId="0" fontId="11" fillId="0" borderId="8" xfId="0" applyFont="1" applyBorder="1" applyAlignment="1" applyProtection="1">
      <alignment horizontal="left" vertical="center" wrapText="1"/>
    </xf>
    <xf numFmtId="0" fontId="10" fillId="0" borderId="14" xfId="0" applyFont="1" applyBorder="1" applyAlignment="1" applyProtection="1">
      <alignment horizontal="right" vertical="center" wrapText="1"/>
    </xf>
    <xf numFmtId="0" fontId="10" fillId="0" borderId="6" xfId="0" applyFont="1" applyBorder="1" applyAlignment="1" applyProtection="1">
      <alignment horizontal="right" vertical="center" wrapText="1"/>
    </xf>
    <xf numFmtId="0" fontId="16" fillId="0" borderId="7" xfId="0" applyFont="1" applyBorder="1" applyAlignment="1" applyProtection="1">
      <alignment horizontal="right" vertical="center" wrapText="1"/>
    </xf>
    <xf numFmtId="0" fontId="16" fillId="0" borderId="18" xfId="0" applyFont="1" applyBorder="1" applyAlignment="1" applyProtection="1">
      <alignment horizontal="right" vertical="center" wrapText="1"/>
    </xf>
    <xf numFmtId="0" fontId="16" fillId="0" borderId="6" xfId="0" applyFont="1" applyBorder="1" applyAlignment="1" applyProtection="1">
      <alignment horizontal="right" vertical="center" wrapText="1"/>
    </xf>
    <xf numFmtId="0" fontId="13" fillId="0" borderId="7" xfId="0" applyFont="1" applyBorder="1" applyAlignment="1" applyProtection="1">
      <alignment horizontal="right" vertical="center" wrapText="1"/>
    </xf>
    <xf numFmtId="0" fontId="13" fillId="0" borderId="6" xfId="0" applyFont="1" applyBorder="1" applyAlignment="1" applyProtection="1">
      <alignment horizontal="right" vertical="center" wrapText="1"/>
    </xf>
    <xf numFmtId="0" fontId="10" fillId="0" borderId="7" xfId="0" applyFont="1" applyBorder="1" applyAlignment="1" applyProtection="1">
      <alignment horizontal="right" vertical="center" wrapText="1"/>
    </xf>
    <xf numFmtId="0" fontId="10" fillId="0" borderId="10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vertical="center" wrapText="1"/>
    </xf>
    <xf numFmtId="9" fontId="10" fillId="0" borderId="13" xfId="2" applyFont="1" applyBorder="1" applyAlignment="1" applyProtection="1">
      <alignment horizontal="right" vertical="center" wrapText="1"/>
    </xf>
    <xf numFmtId="9" fontId="10" fillId="0" borderId="9" xfId="2" applyFont="1" applyBorder="1" applyAlignment="1" applyProtection="1">
      <alignment horizontal="right" vertical="center" wrapText="1"/>
    </xf>
    <xf numFmtId="0" fontId="1" fillId="4" borderId="21" xfId="5" applyFont="1" applyBorder="1" applyAlignment="1" applyProtection="1">
      <alignment horizontal="left" vertical="top" wrapText="1"/>
    </xf>
    <xf numFmtId="0" fontId="1" fillId="4" borderId="0" xfId="5" applyFont="1" applyBorder="1" applyAlignment="1" applyProtection="1">
      <alignment horizontal="left" vertical="top" wrapText="1"/>
    </xf>
    <xf numFmtId="164" fontId="1" fillId="0" borderId="15" xfId="2" applyNumberFormat="1" applyFont="1" applyBorder="1" applyAlignment="1" applyProtection="1">
      <alignment horizontal="right" vertical="center"/>
    </xf>
    <xf numFmtId="0" fontId="10" fillId="0" borderId="9" xfId="0" applyFont="1" applyBorder="1" applyAlignment="1" applyProtection="1">
      <alignment horizontal="right" vertical="center" wrapText="1"/>
    </xf>
    <xf numFmtId="10" fontId="1" fillId="0" borderId="15" xfId="0" applyNumberFormat="1" applyFont="1" applyBorder="1" applyAlignment="1" applyProtection="1">
      <alignment horizontal="right" vertical="center"/>
    </xf>
    <xf numFmtId="0" fontId="10" fillId="0" borderId="16" xfId="0" applyFont="1" applyBorder="1" applyAlignment="1" applyProtection="1">
      <alignment vertical="center" wrapText="1"/>
    </xf>
    <xf numFmtId="44" fontId="4" fillId="3" borderId="3" xfId="4" applyNumberFormat="1" applyBorder="1" applyAlignment="1" applyProtection="1">
      <alignment vertical="center"/>
    </xf>
    <xf numFmtId="44" fontId="4" fillId="3" borderId="16" xfId="4" applyNumberFormat="1" applyBorder="1" applyAlignment="1" applyProtection="1">
      <alignment vertical="center"/>
    </xf>
    <xf numFmtId="44" fontId="4" fillId="3" borderId="4" xfId="4" applyNumberFormat="1" applyBorder="1" applyAlignment="1" applyProtection="1">
      <alignment vertical="center"/>
    </xf>
    <xf numFmtId="0" fontId="9" fillId="5" borderId="7" xfId="0" applyFont="1" applyFill="1" applyBorder="1" applyAlignment="1" applyProtection="1">
      <alignment horizontal="right" vertical="center" wrapText="1"/>
    </xf>
    <xf numFmtId="0" fontId="9" fillId="5" borderId="6" xfId="0" applyFont="1" applyFill="1" applyBorder="1" applyAlignment="1" applyProtection="1">
      <alignment horizontal="right" vertical="center" wrapText="1"/>
    </xf>
    <xf numFmtId="164" fontId="10" fillId="0" borderId="14" xfId="0" applyNumberFormat="1" applyFont="1" applyBorder="1" applyAlignment="1" applyProtection="1">
      <alignment horizontal="left" vertical="center" wrapText="1"/>
    </xf>
    <xf numFmtId="0" fontId="10" fillId="0" borderId="9" xfId="0" applyFont="1" applyBorder="1" applyAlignment="1" applyProtection="1">
      <alignment horizontal="left" vertical="center" wrapText="1"/>
    </xf>
    <xf numFmtId="0" fontId="16" fillId="0" borderId="7" xfId="0" applyFont="1" applyBorder="1" applyAlignment="1">
      <alignment horizontal="right" vertical="center" wrapText="1"/>
    </xf>
    <xf numFmtId="0" fontId="16" fillId="0" borderId="18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44" fontId="10" fillId="0" borderId="10" xfId="1" applyFont="1" applyBorder="1" applyAlignment="1">
      <alignment horizontal="center" vertical="center" wrapText="1"/>
    </xf>
    <xf numFmtId="44" fontId="10" fillId="0" borderId="8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10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44" fontId="10" fillId="0" borderId="10" xfId="1" applyFont="1" applyBorder="1" applyAlignment="1">
      <alignment horizontal="right" vertical="center" wrapText="1"/>
    </xf>
    <xf numFmtId="44" fontId="10" fillId="0" borderId="8" xfId="1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1" fillId="4" borderId="19" xfId="5" applyFont="1" applyBorder="1" applyAlignment="1">
      <alignment horizontal="left" vertical="top" wrapText="1"/>
    </xf>
    <xf numFmtId="0" fontId="1" fillId="4" borderId="20" xfId="5" applyFont="1" applyBorder="1" applyAlignment="1">
      <alignment horizontal="left" vertical="top" wrapText="1"/>
    </xf>
    <xf numFmtId="0" fontId="1" fillId="4" borderId="21" xfId="5" applyFont="1" applyBorder="1" applyAlignment="1">
      <alignment horizontal="left" vertical="top" wrapText="1"/>
    </xf>
    <xf numFmtId="0" fontId="1" fillId="4" borderId="22" xfId="5" applyFont="1" applyBorder="1" applyAlignment="1">
      <alignment horizontal="left" vertical="top" wrapText="1"/>
    </xf>
    <xf numFmtId="0" fontId="1" fillId="4" borderId="23" xfId="5" applyFont="1" applyBorder="1" applyAlignment="1">
      <alignment horizontal="left" vertical="top" wrapText="1"/>
    </xf>
    <xf numFmtId="0" fontId="1" fillId="4" borderId="24" xfId="5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44" fontId="4" fillId="3" borderId="3" xfId="4" applyNumberFormat="1" applyBorder="1" applyAlignment="1">
      <alignment horizontal="center"/>
    </xf>
    <xf numFmtId="44" fontId="4" fillId="3" borderId="4" xfId="4" applyNumberFormat="1" applyBorder="1" applyAlignment="1">
      <alignment horizontal="center"/>
    </xf>
    <xf numFmtId="0" fontId="9" fillId="5" borderId="7" xfId="0" applyFont="1" applyFill="1" applyBorder="1" applyAlignment="1">
      <alignment horizontal="right" vertical="center" wrapText="1"/>
    </xf>
    <xf numFmtId="0" fontId="9" fillId="5" borderId="6" xfId="0" applyFont="1" applyFill="1" applyBorder="1" applyAlignment="1">
      <alignment horizontal="right" vertical="center" wrapText="1"/>
    </xf>
    <xf numFmtId="10" fontId="1" fillId="0" borderId="15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 wrapText="1"/>
    </xf>
    <xf numFmtId="44" fontId="10" fillId="0" borderId="16" xfId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right" vertical="center" wrapText="1"/>
    </xf>
    <xf numFmtId="0" fontId="13" fillId="0" borderId="13" xfId="0" applyFont="1" applyBorder="1" applyAlignment="1">
      <alignment horizontal="right" vertical="center" wrapText="1"/>
    </xf>
    <xf numFmtId="10" fontId="1" fillId="0" borderId="15" xfId="2" applyNumberFormat="1" applyFont="1" applyBorder="1" applyAlignment="1" applyProtection="1">
      <alignment horizontal="right"/>
    </xf>
    <xf numFmtId="10" fontId="10" fillId="0" borderId="14" xfId="0" applyNumberFormat="1" applyFont="1" applyBorder="1" applyAlignment="1" applyProtection="1">
      <alignment horizontal="left" vertical="center" wrapText="1"/>
    </xf>
    <xf numFmtId="10" fontId="10" fillId="0" borderId="9" xfId="0" applyNumberFormat="1" applyFont="1" applyBorder="1" applyAlignment="1" applyProtection="1">
      <alignment horizontal="left" vertical="center" wrapText="1"/>
    </xf>
  </cellXfs>
  <cellStyles count="7">
    <cellStyle name="Anteckning" xfId="5" builtinId="10"/>
    <cellStyle name="Beräkning" xfId="4" builtinId="22"/>
    <cellStyle name="Indata" xfId="3" builtinId="20"/>
    <cellStyle name="Normal" xfId="0" builtinId="0"/>
    <cellStyle name="Procent" xfId="2" builtinId="5"/>
    <cellStyle name="Valuta" xfId="1" builtinId="4"/>
    <cellStyle name="Valuta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nmo-my.sharepoint.com/Users_home_SSP/xinsabm/Documents/F&#246;retagsl&#228;rling/Utbildning/Utbildningsplan%20och%20ekonomi%20f&#246;retagsl&#228;rling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iska biten"/>
      <sheetName val="Ekonomi"/>
      <sheetName val="Start oktober resp januari"/>
      <sheetName val="Alla start augusti"/>
    </sheetNames>
    <sheetDataSet>
      <sheetData sheetId="0"/>
      <sheetData sheetId="1"/>
      <sheetData sheetId="2">
        <row r="43">
          <cell r="B43">
            <v>7000</v>
          </cell>
        </row>
        <row r="44">
          <cell r="B44">
            <v>4000</v>
          </cell>
        </row>
        <row r="45">
          <cell r="B45">
            <v>800</v>
          </cell>
        </row>
        <row r="62">
          <cell r="C62">
            <v>600076.33632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IN">
  <a:themeElements>
    <a:clrScheme name="IN">
      <a:dk1>
        <a:sysClr val="windowText" lastClr="000000"/>
      </a:dk1>
      <a:lt1>
        <a:sysClr val="window" lastClr="FFFFFF"/>
      </a:lt1>
      <a:dk2>
        <a:srgbClr val="9D9C95"/>
      </a:dk2>
      <a:lt2>
        <a:srgbClr val="DAD9D8"/>
      </a:lt2>
      <a:accent1>
        <a:srgbClr val="6CC04A"/>
      </a:accent1>
      <a:accent2>
        <a:srgbClr val="0FB2AC"/>
      </a:accent2>
      <a:accent3>
        <a:srgbClr val="EC6726"/>
      </a:accent3>
      <a:accent4>
        <a:srgbClr val="ECE43E"/>
      </a:accent4>
      <a:accent5>
        <a:srgbClr val="005275"/>
      </a:accent5>
      <a:accent6>
        <a:srgbClr val="007468"/>
      </a:accent6>
      <a:hlink>
        <a:srgbClr val="007468"/>
      </a:hlink>
      <a:folHlink>
        <a:srgbClr val="887F7F"/>
      </a:folHlink>
    </a:clrScheme>
    <a:fontScheme name="IN">
      <a:majorFont>
        <a:latin typeface="Arial"/>
        <a:ea typeface=""/>
        <a:cs typeface=""/>
      </a:majorFont>
      <a:minorFont>
        <a:latin typeface="Cambria"/>
        <a:ea typeface=""/>
        <a:cs typeface=""/>
      </a:minorFont>
    </a:fontScheme>
    <a:fmtScheme name="Utdelning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stallatörsföretagen" id="{EB8E59BA-8AA0-4693-B2EF-21E37726B64B}" vid="{D0CD0605-802E-4FB3-BB9D-98440659990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showGridLines="0" tabSelected="1" showRuler="0" zoomScale="110" zoomScaleNormal="110" workbookViewId="0">
      <selection activeCell="B15" sqref="B15"/>
    </sheetView>
  </sheetViews>
  <sheetFormatPr defaultRowHeight="14.25" x14ac:dyDescent="0.2"/>
  <cols>
    <col min="1" max="1" width="43.625" style="20" customWidth="1"/>
    <col min="2" max="2" width="11.125" style="66" customWidth="1"/>
    <col min="3" max="3" width="4.5" style="66" bestFit="1" customWidth="1"/>
    <col min="4" max="4" width="15.625" style="58" customWidth="1"/>
    <col min="5" max="5" width="4.5" style="66" bestFit="1" customWidth="1"/>
    <col min="6" max="6" width="15" style="58" customWidth="1"/>
    <col min="7" max="7" width="4.5" style="66" hidden="1" customWidth="1"/>
    <col min="8" max="8" width="14" style="58" hidden="1" customWidth="1"/>
    <col min="9" max="9" width="61.75" style="20" customWidth="1"/>
    <col min="10" max="10" width="10.625" style="20" bestFit="1" customWidth="1"/>
    <col min="11" max="16384" width="9" style="20"/>
  </cols>
  <sheetData>
    <row r="1" spans="1:8" ht="43.5" customHeight="1" x14ac:dyDescent="0.2">
      <c r="A1" s="223" t="s">
        <v>133</v>
      </c>
      <c r="B1" s="223"/>
      <c r="C1" s="223"/>
      <c r="D1" s="223"/>
      <c r="E1" s="223"/>
      <c r="F1" s="223"/>
      <c r="G1" s="223"/>
      <c r="H1" s="223"/>
    </row>
    <row r="2" spans="1:8" ht="20.25" x14ac:dyDescent="0.3">
      <c r="A2" s="183" t="s">
        <v>153</v>
      </c>
    </row>
    <row r="4" spans="1:8" x14ac:dyDescent="0.2">
      <c r="A4" s="65" t="s">
        <v>0</v>
      </c>
      <c r="B4" s="218"/>
    </row>
    <row r="5" spans="1:8" ht="15" thickBot="1" x14ac:dyDescent="0.25">
      <c r="A5" s="65" t="s">
        <v>134</v>
      </c>
      <c r="B5" s="218"/>
    </row>
    <row r="6" spans="1:8" ht="52.5" customHeight="1" x14ac:dyDescent="0.2">
      <c r="A6" s="184" t="s">
        <v>135</v>
      </c>
      <c r="C6" s="69" t="s">
        <v>167</v>
      </c>
      <c r="D6" s="70"/>
      <c r="E6" s="69" t="s">
        <v>167</v>
      </c>
      <c r="F6" s="70"/>
      <c r="G6" s="69" t="s">
        <v>167</v>
      </c>
      <c r="H6" s="70"/>
    </row>
    <row r="7" spans="1:8" ht="17.25" x14ac:dyDescent="0.35">
      <c r="A7" s="71" t="s">
        <v>84</v>
      </c>
      <c r="B7" s="72"/>
      <c r="C7" s="73"/>
      <c r="D7" s="74" t="s">
        <v>145</v>
      </c>
      <c r="E7" s="75"/>
      <c r="F7" s="74" t="s">
        <v>147</v>
      </c>
      <c r="G7" s="75"/>
      <c r="H7" s="74" t="s">
        <v>146</v>
      </c>
    </row>
    <row r="8" spans="1:8" x14ac:dyDescent="0.2">
      <c r="A8" s="76" t="s">
        <v>89</v>
      </c>
      <c r="B8" s="219">
        <v>2088</v>
      </c>
      <c r="C8" s="78"/>
      <c r="D8" s="79">
        <f>$B$8</f>
        <v>2088</v>
      </c>
      <c r="E8" s="80"/>
      <c r="F8" s="79">
        <f>$B$8</f>
        <v>2088</v>
      </c>
      <c r="G8" s="81"/>
      <c r="H8" s="79">
        <f>$B$8</f>
        <v>2088</v>
      </c>
    </row>
    <row r="9" spans="1:8" x14ac:dyDescent="0.2">
      <c r="A9" s="76" t="s">
        <v>85</v>
      </c>
      <c r="B9" s="82">
        <f>1-(1655/B8)</f>
        <v>0.20737547892720309</v>
      </c>
      <c r="C9" s="83"/>
      <c r="D9" s="79">
        <f>-D8*$B$9</f>
        <v>-433.00000000000006</v>
      </c>
      <c r="E9" s="81"/>
      <c r="F9" s="79">
        <f>-F8*$B$9</f>
        <v>-433.00000000000006</v>
      </c>
      <c r="G9" s="81"/>
      <c r="H9" s="79">
        <f>-H8*$B$9</f>
        <v>-433.00000000000006</v>
      </c>
    </row>
    <row r="10" spans="1:8" ht="15" thickBot="1" x14ac:dyDescent="0.25">
      <c r="A10" s="76" t="s">
        <v>144</v>
      </c>
      <c r="B10" s="82"/>
      <c r="C10" s="83"/>
      <c r="D10" s="84">
        <f>SUM(D8:D9)</f>
        <v>1655</v>
      </c>
      <c r="E10" s="81"/>
      <c r="F10" s="84">
        <f>SUM(F8:F9)</f>
        <v>1655</v>
      </c>
      <c r="G10" s="81"/>
      <c r="H10" s="84">
        <f>SUM(H8:H9)</f>
        <v>1655</v>
      </c>
    </row>
    <row r="11" spans="1:8" ht="15" thickTop="1" x14ac:dyDescent="0.2">
      <c r="A11" s="76" t="s">
        <v>163</v>
      </c>
      <c r="B11" s="82"/>
      <c r="C11" s="83"/>
      <c r="D11" s="85">
        <f>D10*2</f>
        <v>3310</v>
      </c>
      <c r="E11" s="81"/>
      <c r="F11" s="85">
        <f>F10*2</f>
        <v>3310</v>
      </c>
      <c r="G11" s="81"/>
      <c r="H11" s="85">
        <f>H10*2</f>
        <v>3310</v>
      </c>
    </row>
    <row r="12" spans="1:8" x14ac:dyDescent="0.2">
      <c r="A12" s="76"/>
      <c r="B12" s="82"/>
      <c r="C12" s="83"/>
      <c r="D12" s="85"/>
      <c r="E12" s="81"/>
      <c r="F12" s="85"/>
      <c r="G12" s="81"/>
      <c r="H12" s="85"/>
    </row>
    <row r="13" spans="1:8" x14ac:dyDescent="0.2">
      <c r="A13" s="86" t="s">
        <v>127</v>
      </c>
      <c r="B13" s="82"/>
      <c r="C13" s="83"/>
      <c r="D13" s="87"/>
      <c r="E13" s="81"/>
      <c r="F13" s="79"/>
      <c r="G13" s="81"/>
      <c r="H13" s="79"/>
    </row>
    <row r="14" spans="1:8" x14ac:dyDescent="0.2">
      <c r="A14" s="76" t="s">
        <v>164</v>
      </c>
      <c r="B14" s="77">
        <v>40</v>
      </c>
      <c r="C14" s="78">
        <f>Utbildningsplan!C16+Utbildningsplan!E16</f>
        <v>11</v>
      </c>
      <c r="D14" s="79">
        <f>-$B$14*C14</f>
        <v>-440</v>
      </c>
      <c r="E14" s="78">
        <f>Utbildningsplan!E27+Utbildningsplan!G27</f>
        <v>10</v>
      </c>
      <c r="F14" s="79">
        <f>-$B$14*E14</f>
        <v>-400</v>
      </c>
      <c r="G14" s="78">
        <f>Utbildningsplan!E37+Utbildningsplan!G37</f>
        <v>8</v>
      </c>
      <c r="H14" s="79">
        <f>-$B$14*G14</f>
        <v>-320</v>
      </c>
    </row>
    <row r="15" spans="1:8" x14ac:dyDescent="0.2">
      <c r="A15" s="76" t="s">
        <v>162</v>
      </c>
      <c r="B15" s="88"/>
      <c r="C15" s="83"/>
      <c r="D15" s="79">
        <f>-B15*B8</f>
        <v>0</v>
      </c>
      <c r="E15" s="81"/>
      <c r="F15" s="79">
        <f>D15</f>
        <v>0</v>
      </c>
      <c r="G15" s="81"/>
      <c r="H15" s="79">
        <f>F15</f>
        <v>0</v>
      </c>
    </row>
    <row r="16" spans="1:8" ht="15" thickBot="1" x14ac:dyDescent="0.25">
      <c r="A16" s="89" t="s">
        <v>130</v>
      </c>
      <c r="B16" s="82"/>
      <c r="C16" s="83"/>
      <c r="D16" s="84">
        <f>D10+SUM(D14:D15)</f>
        <v>1215</v>
      </c>
      <c r="E16" s="81"/>
      <c r="F16" s="84">
        <f>F10+SUM(F14:F15)</f>
        <v>1255</v>
      </c>
      <c r="G16" s="81"/>
      <c r="H16" s="84">
        <f>H10+SUM(H14:H15)</f>
        <v>1335</v>
      </c>
    </row>
    <row r="17" spans="1:10" ht="15" thickTop="1" x14ac:dyDescent="0.2">
      <c r="A17" s="76" t="s">
        <v>86</v>
      </c>
      <c r="B17" s="82"/>
      <c r="C17" s="83"/>
      <c r="D17" s="90"/>
      <c r="E17" s="81"/>
      <c r="F17" s="90"/>
      <c r="G17" s="81"/>
      <c r="H17" s="90"/>
    </row>
    <row r="18" spans="1:10" ht="15" thickBot="1" x14ac:dyDescent="0.25">
      <c r="A18" s="91" t="s">
        <v>128</v>
      </c>
      <c r="B18" s="82"/>
      <c r="C18" s="83"/>
      <c r="D18" s="92">
        <f>D17*D16</f>
        <v>0</v>
      </c>
      <c r="E18" s="81"/>
      <c r="F18" s="92">
        <f>F17*F16</f>
        <v>0</v>
      </c>
      <c r="G18" s="81"/>
      <c r="H18" s="92">
        <f>H17*H16</f>
        <v>0</v>
      </c>
    </row>
    <row r="19" spans="1:10" ht="15" thickTop="1" x14ac:dyDescent="0.2">
      <c r="A19" s="76"/>
      <c r="B19" s="82"/>
      <c r="C19" s="83"/>
      <c r="D19" s="93"/>
      <c r="E19" s="81"/>
      <c r="F19" s="87"/>
      <c r="G19" s="81"/>
      <c r="H19" s="79"/>
    </row>
    <row r="20" spans="1:10" x14ac:dyDescent="0.2">
      <c r="A20" s="76"/>
      <c r="B20" s="82"/>
      <c r="C20" s="83"/>
      <c r="D20" s="93"/>
      <c r="E20" s="81"/>
      <c r="F20" s="79"/>
      <c r="G20" s="81"/>
      <c r="H20" s="79"/>
    </row>
    <row r="21" spans="1:10" x14ac:dyDescent="0.2">
      <c r="A21" s="86" t="s">
        <v>129</v>
      </c>
      <c r="B21" s="82"/>
      <c r="C21" s="83"/>
      <c r="D21" s="87"/>
      <c r="E21" s="81"/>
      <c r="F21" s="79"/>
      <c r="G21" s="81"/>
      <c r="H21" s="79"/>
    </row>
    <row r="22" spans="1:10" x14ac:dyDescent="0.2">
      <c r="A22" s="76" t="s">
        <v>164</v>
      </c>
      <c r="B22" s="77">
        <v>40</v>
      </c>
      <c r="C22" s="78">
        <f>Utbildningsplan!G16+Utbildningsplan!I16</f>
        <v>10</v>
      </c>
      <c r="D22" s="79">
        <f>-$B$22*C22</f>
        <v>-400</v>
      </c>
      <c r="E22" s="78">
        <f>Utbildningsplan!I27+Utbildningsplan!K27</f>
        <v>6</v>
      </c>
      <c r="F22" s="79">
        <f>-$B$22*E22</f>
        <v>-240</v>
      </c>
      <c r="G22" s="78">
        <f>Utbildningsplan!I37+Utbildningsplan!K37</f>
        <v>4</v>
      </c>
      <c r="H22" s="79">
        <f>-$B$22*G22</f>
        <v>-160</v>
      </c>
    </row>
    <row r="23" spans="1:10" x14ac:dyDescent="0.2">
      <c r="A23" s="76" t="s">
        <v>162</v>
      </c>
      <c r="B23" s="88"/>
      <c r="C23" s="83"/>
      <c r="D23" s="79">
        <f>-$B$23*$B$8</f>
        <v>0</v>
      </c>
      <c r="E23" s="81"/>
      <c r="F23" s="79">
        <f>-$B$23*$B$8</f>
        <v>0</v>
      </c>
      <c r="G23" s="81"/>
      <c r="H23" s="79">
        <f>-$B$23*$B$8</f>
        <v>0</v>
      </c>
    </row>
    <row r="24" spans="1:10" ht="15" thickBot="1" x14ac:dyDescent="0.25">
      <c r="A24" s="89" t="s">
        <v>131</v>
      </c>
      <c r="B24" s="82"/>
      <c r="C24" s="83"/>
      <c r="D24" s="84">
        <f>D10+SUM(D22:D23)</f>
        <v>1255</v>
      </c>
      <c r="E24" s="81"/>
      <c r="F24" s="84">
        <f>F10+SUM(F22:F23)</f>
        <v>1415</v>
      </c>
      <c r="G24" s="81"/>
      <c r="H24" s="84">
        <f>H10+SUM(H22:H23)</f>
        <v>1495</v>
      </c>
    </row>
    <row r="25" spans="1:10" ht="15" thickTop="1" x14ac:dyDescent="0.2">
      <c r="A25" s="76" t="s">
        <v>86</v>
      </c>
      <c r="B25" s="82"/>
      <c r="C25" s="83"/>
      <c r="D25" s="90"/>
      <c r="E25" s="81"/>
      <c r="F25" s="90"/>
      <c r="G25" s="81"/>
      <c r="H25" s="90"/>
    </row>
    <row r="26" spans="1:10" ht="15" thickBot="1" x14ac:dyDescent="0.25">
      <c r="A26" s="91" t="s">
        <v>132</v>
      </c>
      <c r="B26" s="82"/>
      <c r="C26" s="83"/>
      <c r="D26" s="92">
        <f>D25*D24</f>
        <v>0</v>
      </c>
      <c r="E26" s="81"/>
      <c r="F26" s="92">
        <f>F25*F24</f>
        <v>0</v>
      </c>
      <c r="G26" s="81"/>
      <c r="H26" s="92">
        <f>H25*H24</f>
        <v>0</v>
      </c>
    </row>
    <row r="27" spans="1:10" ht="15" thickTop="1" x14ac:dyDescent="0.2">
      <c r="A27" s="76"/>
      <c r="B27" s="82"/>
      <c r="C27" s="83"/>
      <c r="D27" s="93"/>
      <c r="E27" s="81"/>
      <c r="F27" s="79"/>
      <c r="G27" s="81"/>
      <c r="H27" s="79"/>
    </row>
    <row r="28" spans="1:10" ht="15.75" thickBot="1" x14ac:dyDescent="0.3">
      <c r="A28" s="220" t="s">
        <v>140</v>
      </c>
      <c r="B28" s="94"/>
      <c r="C28" s="95"/>
      <c r="D28" s="92">
        <f>D26+D18</f>
        <v>0</v>
      </c>
      <c r="E28" s="96"/>
      <c r="F28" s="92">
        <f>F26+F18</f>
        <v>0</v>
      </c>
      <c r="G28" s="96"/>
      <c r="H28" s="92">
        <f>H26+H18</f>
        <v>0</v>
      </c>
    </row>
    <row r="29" spans="1:10" ht="15" thickTop="1" x14ac:dyDescent="0.2">
      <c r="A29" s="76"/>
      <c r="B29" s="97"/>
      <c r="C29" s="95"/>
      <c r="D29" s="98"/>
      <c r="E29" s="81"/>
      <c r="F29" s="99"/>
      <c r="G29" s="81"/>
      <c r="H29" s="99"/>
    </row>
    <row r="30" spans="1:10" ht="15.75" x14ac:dyDescent="0.25">
      <c r="A30" s="100" t="s">
        <v>87</v>
      </c>
      <c r="B30" s="72"/>
      <c r="C30" s="73"/>
      <c r="D30" s="98"/>
      <c r="E30" s="81"/>
      <c r="F30" s="99"/>
      <c r="G30" s="81"/>
      <c r="H30" s="99"/>
    </row>
    <row r="31" spans="1:10" x14ac:dyDescent="0.2">
      <c r="A31" s="91" t="s">
        <v>142</v>
      </c>
      <c r="B31" s="72"/>
      <c r="C31" s="73"/>
      <c r="D31" s="98">
        <f>D28</f>
        <v>0</v>
      </c>
      <c r="E31" s="81"/>
      <c r="F31" s="98">
        <f>F28</f>
        <v>0</v>
      </c>
      <c r="G31" s="81"/>
      <c r="H31" s="98">
        <f>H28</f>
        <v>0</v>
      </c>
    </row>
    <row r="32" spans="1:10" x14ac:dyDescent="0.2">
      <c r="A32" s="91" t="s">
        <v>141</v>
      </c>
      <c r="B32" s="72"/>
      <c r="C32" s="73"/>
      <c r="D32" s="98">
        <f>-'Totalkostnad lön'!$E$32*174*24</f>
        <v>0</v>
      </c>
      <c r="E32" s="81"/>
      <c r="F32" s="98">
        <f>-'Totalkostnad lön'!$E$32*174*24</f>
        <v>0</v>
      </c>
      <c r="G32" s="81"/>
      <c r="H32" s="98">
        <f>-'Totalkostnad lön'!$E$32*174*24</f>
        <v>0</v>
      </c>
      <c r="I32" s="182" t="s">
        <v>165</v>
      </c>
      <c r="J32" s="59"/>
    </row>
    <row r="33" spans="1:9" ht="16.5" thickBot="1" x14ac:dyDescent="0.3">
      <c r="A33" s="101"/>
      <c r="C33" s="81"/>
      <c r="D33" s="102">
        <f>SUM(D31:D32)</f>
        <v>0</v>
      </c>
      <c r="E33" s="96"/>
      <c r="F33" s="102">
        <f>SUM(F31:F32)</f>
        <v>0</v>
      </c>
      <c r="G33" s="96"/>
      <c r="H33" s="102">
        <f>SUM(H31:H32)</f>
        <v>0</v>
      </c>
    </row>
    <row r="34" spans="1:9" ht="16.5" thickTop="1" x14ac:dyDescent="0.25">
      <c r="A34" s="101"/>
      <c r="C34" s="81"/>
      <c r="D34" s="93"/>
      <c r="E34" s="96"/>
      <c r="F34" s="93"/>
      <c r="G34" s="96"/>
      <c r="H34" s="93"/>
    </row>
    <row r="35" spans="1:9" ht="22.5" x14ac:dyDescent="0.2">
      <c r="A35" s="76" t="s">
        <v>143</v>
      </c>
      <c r="B35" s="72"/>
      <c r="C35" s="73"/>
      <c r="D35" s="103">
        <f>SUM(Utbildningsplan!$P$40:$P$42)*Utbildningsplan!M16</f>
        <v>0</v>
      </c>
      <c r="E35" s="81"/>
      <c r="F35" s="103">
        <f>SUM(Utbildningsplan!$P$40:$P$42)*Utbildningsplan!M27</f>
        <v>0</v>
      </c>
      <c r="G35" s="104"/>
      <c r="H35" s="103">
        <f>SUM(Utbildningsplan!$P$40:$P$42)*Utbildningsplan!M37</f>
        <v>0</v>
      </c>
      <c r="I35" s="182" t="s">
        <v>155</v>
      </c>
    </row>
    <row r="36" spans="1:9" ht="16.5" thickBot="1" x14ac:dyDescent="0.3">
      <c r="A36" s="101" t="s">
        <v>160</v>
      </c>
      <c r="C36" s="81"/>
      <c r="D36" s="92">
        <f>D33-D35</f>
        <v>0</v>
      </c>
      <c r="E36" s="96"/>
      <c r="F36" s="92">
        <f>F33-F35</f>
        <v>0</v>
      </c>
      <c r="G36" s="96"/>
      <c r="H36" s="92">
        <f>H33-H35</f>
        <v>0</v>
      </c>
    </row>
    <row r="37" spans="1:9" ht="16.5" thickTop="1" x14ac:dyDescent="0.25">
      <c r="A37" s="101"/>
      <c r="C37" s="81"/>
      <c r="D37" s="93"/>
      <c r="E37" s="96"/>
      <c r="F37" s="93"/>
      <c r="G37" s="96"/>
      <c r="H37" s="93"/>
    </row>
    <row r="38" spans="1:9" x14ac:dyDescent="0.2">
      <c r="A38" s="89" t="s">
        <v>159</v>
      </c>
      <c r="C38" s="81"/>
      <c r="D38" s="99"/>
      <c r="E38" s="81"/>
      <c r="F38" s="99"/>
      <c r="G38" s="81"/>
      <c r="H38" s="99"/>
    </row>
    <row r="39" spans="1:9" x14ac:dyDescent="0.2">
      <c r="A39" s="208" t="s">
        <v>88</v>
      </c>
      <c r="B39" s="209"/>
      <c r="C39" s="210"/>
      <c r="D39" s="211">
        <f>-Utbildningsplan!P10</f>
        <v>-73500</v>
      </c>
      <c r="E39" s="212"/>
      <c r="F39" s="211">
        <f>-Utbildningsplan!P21</f>
        <v>-56000</v>
      </c>
      <c r="G39" s="213"/>
      <c r="H39" s="211">
        <f>-Utbildningsplan!P31</f>
        <v>-42000</v>
      </c>
      <c r="I39" s="182" t="s">
        <v>148</v>
      </c>
    </row>
    <row r="40" spans="1:9" ht="16.5" thickBot="1" x14ac:dyDescent="0.3">
      <c r="A40" s="214" t="s">
        <v>161</v>
      </c>
      <c r="B40" s="215"/>
      <c r="C40" s="212"/>
      <c r="D40" s="216">
        <f>D36+D39</f>
        <v>-73500</v>
      </c>
      <c r="E40" s="217"/>
      <c r="F40" s="216">
        <f>F36+F39</f>
        <v>-56000</v>
      </c>
      <c r="G40" s="217"/>
      <c r="H40" s="216">
        <f>H36+H39</f>
        <v>-42000</v>
      </c>
    </row>
    <row r="41" spans="1:9" ht="15.75" thickTop="1" thickBot="1" x14ac:dyDescent="0.25">
      <c r="C41" s="67"/>
      <c r="D41" s="63"/>
      <c r="E41" s="67"/>
      <c r="F41" s="63"/>
      <c r="G41" s="67"/>
      <c r="H41" s="63"/>
    </row>
    <row r="43" spans="1:9" ht="14.25" customHeight="1" x14ac:dyDescent="0.2">
      <c r="A43" s="222" t="s">
        <v>166</v>
      </c>
      <c r="B43" s="221"/>
      <c r="C43" s="221"/>
      <c r="D43" s="221"/>
      <c r="E43" s="221"/>
      <c r="F43" s="221"/>
      <c r="G43" s="221"/>
      <c r="H43" s="221"/>
    </row>
  </sheetData>
  <sheetProtection algorithmName="SHA-512" hashValue="OX5vpg+5w5g13BqM085mBEZ06ISoh31KWvDLmHgnnkIhkwZ5opbBBfVuTQ9lCTjFFyjjQQ7Vh9AvVBY9j8uqEw==" saltValue="u/D2ivbkPIVlyjcme3upUQ==" spinCount="100000" sheet="1" objects="1" scenarios="1" selectLockedCells="1"/>
  <mergeCells count="1">
    <mergeCell ref="A1:H1"/>
  </mergeCells>
  <pageMargins left="0.7" right="0.7" top="0.75" bottom="0.75" header="0.3" footer="0.3"/>
  <pageSetup paperSize="9" scale="69" orientation="landscape" horizontalDpi="1200" verticalDpi="1200" r:id="rId1"/>
  <headerFooter>
    <oddHeader>&amp;R&amp;"-,Kursiv"&amp;9version 2019-03-13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3"/>
  <sheetViews>
    <sheetView showGridLines="0" zoomScaleNormal="100" workbookViewId="0">
      <selection activeCell="P40" sqref="P40"/>
    </sheetView>
  </sheetViews>
  <sheetFormatPr defaultColWidth="9" defaultRowHeight="15" x14ac:dyDescent="0.2"/>
  <cols>
    <col min="1" max="1" width="46.625" style="118" customWidth="1"/>
    <col min="2" max="2" width="6.5" style="66" bestFit="1" customWidth="1"/>
    <col min="3" max="3" width="7" style="66" bestFit="1" customWidth="1"/>
    <col min="4" max="4" width="6.5" style="66" bestFit="1" customWidth="1"/>
    <col min="5" max="5" width="7" style="66" bestFit="1" customWidth="1"/>
    <col min="6" max="6" width="6.5" style="66" bestFit="1" customWidth="1"/>
    <col min="7" max="7" width="7" style="66" bestFit="1" customWidth="1"/>
    <col min="8" max="8" width="6.5" style="66" bestFit="1" customWidth="1"/>
    <col min="9" max="9" width="7" style="66" bestFit="1" customWidth="1"/>
    <col min="10" max="10" width="6.5" style="66" bestFit="1" customWidth="1"/>
    <col min="11" max="11" width="7" style="66" bestFit="1" customWidth="1"/>
    <col min="12" max="12" width="7" style="60" bestFit="1" customWidth="1"/>
    <col min="13" max="13" width="7.5" style="60" bestFit="1" customWidth="1"/>
    <col min="14" max="14" width="1.875" style="20" customWidth="1"/>
    <col min="15" max="15" width="19.875" style="20" customWidth="1"/>
    <col min="16" max="16" width="12.75" style="20" customWidth="1"/>
    <col min="17" max="17" width="2.25" style="20" customWidth="1"/>
    <col min="18" max="16384" width="9" style="20"/>
  </cols>
  <sheetData>
    <row r="1" spans="1:16" s="106" customFormat="1" ht="23.25" x14ac:dyDescent="0.35">
      <c r="A1" s="105" t="s">
        <v>168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6" s="106" customFormat="1" ht="18" customHeight="1" thickBot="1" x14ac:dyDescent="0.4">
      <c r="A2" s="105"/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6" s="106" customFormat="1" ht="24" thickBot="1" x14ac:dyDescent="0.4">
      <c r="A3" s="105"/>
      <c r="B3" s="225" t="s">
        <v>137</v>
      </c>
      <c r="C3" s="226"/>
      <c r="D3" s="227" t="s">
        <v>138</v>
      </c>
      <c r="E3" s="228"/>
      <c r="F3" s="229" t="s">
        <v>137</v>
      </c>
      <c r="G3" s="230"/>
      <c r="H3" s="231" t="s">
        <v>138</v>
      </c>
      <c r="I3" s="232"/>
      <c r="J3" s="233" t="s">
        <v>137</v>
      </c>
      <c r="K3" s="234"/>
      <c r="L3" s="235" t="s">
        <v>90</v>
      </c>
      <c r="M3" s="236"/>
      <c r="O3" s="224" t="s">
        <v>91</v>
      </c>
      <c r="P3" s="224"/>
    </row>
    <row r="4" spans="1:16" s="110" customFormat="1" ht="9.75" customHeight="1" thickBot="1" x14ac:dyDescent="0.25">
      <c r="A4" s="107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  <c r="M4" s="109"/>
    </row>
    <row r="5" spans="1:16" s="111" customFormat="1" ht="18" x14ac:dyDescent="0.2">
      <c r="A5" s="177" t="s">
        <v>92</v>
      </c>
      <c r="B5" s="130" t="s">
        <v>93</v>
      </c>
      <c r="C5" s="131" t="s">
        <v>94</v>
      </c>
      <c r="D5" s="132" t="s">
        <v>93</v>
      </c>
      <c r="E5" s="133" t="s">
        <v>94</v>
      </c>
      <c r="F5" s="134" t="s">
        <v>93</v>
      </c>
      <c r="G5" s="135" t="s">
        <v>94</v>
      </c>
      <c r="H5" s="136" t="s">
        <v>93</v>
      </c>
      <c r="I5" s="137" t="s">
        <v>94</v>
      </c>
      <c r="J5" s="138" t="s">
        <v>93</v>
      </c>
      <c r="K5" s="139" t="s">
        <v>94</v>
      </c>
      <c r="L5" s="127" t="s">
        <v>93</v>
      </c>
      <c r="M5" s="128" t="s">
        <v>94</v>
      </c>
      <c r="O5" s="112"/>
      <c r="P5" s="113"/>
    </row>
    <row r="6" spans="1:16" ht="14.25" x14ac:dyDescent="0.2">
      <c r="A6" s="185" t="s">
        <v>95</v>
      </c>
      <c r="B6" s="140">
        <v>100</v>
      </c>
      <c r="C6" s="141">
        <v>2</v>
      </c>
      <c r="D6" s="142"/>
      <c r="E6" s="143"/>
      <c r="F6" s="144"/>
      <c r="G6" s="145"/>
      <c r="H6" s="146"/>
      <c r="I6" s="147"/>
      <c r="J6" s="148"/>
      <c r="K6" s="149"/>
      <c r="L6" s="186">
        <f>H6+F6+D6+B6+J6</f>
        <v>100</v>
      </c>
      <c r="M6" s="187">
        <f>I6+G6+E6+C6+K6</f>
        <v>2</v>
      </c>
      <c r="N6" s="185"/>
      <c r="O6" s="114"/>
      <c r="P6" s="115"/>
    </row>
    <row r="7" spans="1:16" ht="14.25" x14ac:dyDescent="0.2">
      <c r="A7" s="188" t="s">
        <v>96</v>
      </c>
      <c r="B7" s="140">
        <v>100</v>
      </c>
      <c r="C7" s="141">
        <v>2</v>
      </c>
      <c r="D7" s="142"/>
      <c r="E7" s="143"/>
      <c r="F7" s="144"/>
      <c r="G7" s="145"/>
      <c r="H7" s="146"/>
      <c r="I7" s="147"/>
      <c r="J7" s="148"/>
      <c r="K7" s="149"/>
      <c r="L7" s="186">
        <f t="shared" ref="L7:L15" si="0">H7+F7+D7+B7+J7</f>
        <v>100</v>
      </c>
      <c r="M7" s="187">
        <f t="shared" ref="M7:M15" si="1">I7+G7+E7+C7</f>
        <v>2</v>
      </c>
      <c r="N7" s="185"/>
      <c r="O7" s="114"/>
      <c r="P7" s="115"/>
    </row>
    <row r="8" spans="1:16" ht="14.25" x14ac:dyDescent="0.2">
      <c r="A8" s="185" t="s">
        <v>97</v>
      </c>
      <c r="B8" s="140"/>
      <c r="C8" s="141"/>
      <c r="D8" s="142">
        <v>300</v>
      </c>
      <c r="E8" s="143">
        <v>3</v>
      </c>
      <c r="F8" s="144"/>
      <c r="G8" s="145"/>
      <c r="H8" s="146"/>
      <c r="I8" s="147"/>
      <c r="J8" s="148"/>
      <c r="K8" s="149"/>
      <c r="L8" s="186">
        <f t="shared" si="0"/>
        <v>300</v>
      </c>
      <c r="M8" s="187">
        <f t="shared" si="1"/>
        <v>3</v>
      </c>
      <c r="N8" s="185"/>
      <c r="O8" s="114"/>
      <c r="P8" s="115"/>
    </row>
    <row r="9" spans="1:16" ht="14.25" x14ac:dyDescent="0.2">
      <c r="A9" s="185" t="s">
        <v>98</v>
      </c>
      <c r="B9" s="140"/>
      <c r="C9" s="141"/>
      <c r="D9" s="142">
        <v>100</v>
      </c>
      <c r="E9" s="143">
        <v>2</v>
      </c>
      <c r="F9" s="144"/>
      <c r="G9" s="145"/>
      <c r="H9" s="146"/>
      <c r="I9" s="147"/>
      <c r="J9" s="148"/>
      <c r="K9" s="149"/>
      <c r="L9" s="186">
        <f t="shared" si="0"/>
        <v>100</v>
      </c>
      <c r="M9" s="187">
        <f t="shared" si="1"/>
        <v>2</v>
      </c>
      <c r="N9" s="185"/>
      <c r="O9" s="116" t="s">
        <v>99</v>
      </c>
      <c r="P9" s="117">
        <f>M16*pris</f>
        <v>147000</v>
      </c>
    </row>
    <row r="10" spans="1:16" ht="14.25" x14ac:dyDescent="0.2">
      <c r="A10" s="185" t="s">
        <v>100</v>
      </c>
      <c r="B10" s="140"/>
      <c r="C10" s="141"/>
      <c r="D10" s="142">
        <v>100</v>
      </c>
      <c r="E10" s="143">
        <v>2</v>
      </c>
      <c r="F10" s="144"/>
      <c r="G10" s="145"/>
      <c r="H10" s="146"/>
      <c r="I10" s="147"/>
      <c r="J10" s="148"/>
      <c r="K10" s="149"/>
      <c r="L10" s="186">
        <f t="shared" si="0"/>
        <v>100</v>
      </c>
      <c r="M10" s="187">
        <f t="shared" si="1"/>
        <v>2</v>
      </c>
      <c r="N10" s="185"/>
      <c r="O10" s="116" t="s">
        <v>101</v>
      </c>
      <c r="P10" s="117">
        <f>P9/2</f>
        <v>73500</v>
      </c>
    </row>
    <row r="11" spans="1:16" ht="14.25" x14ac:dyDescent="0.2">
      <c r="A11" s="188" t="s">
        <v>102</v>
      </c>
      <c r="B11" s="140"/>
      <c r="C11" s="141"/>
      <c r="D11" s="142"/>
      <c r="E11" s="143"/>
      <c r="F11" s="144">
        <v>100</v>
      </c>
      <c r="G11" s="145">
        <v>2</v>
      </c>
      <c r="H11" s="146"/>
      <c r="I11" s="147"/>
      <c r="J11" s="148"/>
      <c r="K11" s="149"/>
      <c r="L11" s="186">
        <f t="shared" si="0"/>
        <v>100</v>
      </c>
      <c r="M11" s="187">
        <f t="shared" si="1"/>
        <v>2</v>
      </c>
      <c r="N11" s="185"/>
      <c r="O11" s="116"/>
      <c r="P11" s="117"/>
    </row>
    <row r="12" spans="1:16" ht="14.25" x14ac:dyDescent="0.2">
      <c r="A12" s="188" t="s">
        <v>103</v>
      </c>
      <c r="B12" s="140"/>
      <c r="C12" s="141"/>
      <c r="D12" s="142"/>
      <c r="E12" s="143"/>
      <c r="F12" s="144">
        <v>100</v>
      </c>
      <c r="G12" s="145">
        <v>2</v>
      </c>
      <c r="H12" s="146"/>
      <c r="I12" s="147"/>
      <c r="J12" s="148"/>
      <c r="K12" s="149"/>
      <c r="L12" s="186">
        <f t="shared" si="0"/>
        <v>100</v>
      </c>
      <c r="M12" s="187">
        <f t="shared" si="1"/>
        <v>2</v>
      </c>
      <c r="N12" s="185"/>
      <c r="O12" s="116" t="s">
        <v>104</v>
      </c>
      <c r="P12" s="117">
        <f>M16*boende</f>
        <v>0</v>
      </c>
    </row>
    <row r="13" spans="1:16" ht="14.25" x14ac:dyDescent="0.2">
      <c r="A13" s="185" t="s">
        <v>105</v>
      </c>
      <c r="B13" s="140"/>
      <c r="C13" s="141"/>
      <c r="D13" s="142"/>
      <c r="E13" s="143"/>
      <c r="F13" s="144">
        <v>100</v>
      </c>
      <c r="G13" s="145">
        <v>2</v>
      </c>
      <c r="H13" s="146"/>
      <c r="I13" s="147"/>
      <c r="J13" s="148"/>
      <c r="K13" s="149"/>
      <c r="L13" s="186">
        <f t="shared" si="0"/>
        <v>100</v>
      </c>
      <c r="M13" s="187">
        <f t="shared" si="1"/>
        <v>2</v>
      </c>
      <c r="N13" s="185"/>
      <c r="O13" s="116" t="s">
        <v>106</v>
      </c>
      <c r="P13" s="117">
        <f>M16*resa</f>
        <v>0</v>
      </c>
    </row>
    <row r="14" spans="1:16" ht="14.25" x14ac:dyDescent="0.2">
      <c r="A14" s="188" t="s">
        <v>107</v>
      </c>
      <c r="B14" s="140"/>
      <c r="C14" s="141"/>
      <c r="D14" s="142"/>
      <c r="E14" s="143"/>
      <c r="F14" s="144"/>
      <c r="G14" s="145"/>
      <c r="H14" s="146">
        <v>100</v>
      </c>
      <c r="I14" s="147">
        <v>2</v>
      </c>
      <c r="J14" s="148"/>
      <c r="K14" s="149"/>
      <c r="L14" s="186">
        <f t="shared" si="0"/>
        <v>100</v>
      </c>
      <c r="M14" s="187">
        <f t="shared" si="1"/>
        <v>2</v>
      </c>
      <c r="N14" s="185"/>
      <c r="O14" s="116"/>
      <c r="P14" s="117"/>
    </row>
    <row r="15" spans="1:16" thickBot="1" x14ac:dyDescent="0.25">
      <c r="A15" s="188" t="s">
        <v>108</v>
      </c>
      <c r="B15" s="150"/>
      <c r="C15" s="151"/>
      <c r="D15" s="152"/>
      <c r="E15" s="153"/>
      <c r="F15" s="154"/>
      <c r="G15" s="155"/>
      <c r="H15" s="156">
        <v>100</v>
      </c>
      <c r="I15" s="157">
        <v>2</v>
      </c>
      <c r="J15" s="158"/>
      <c r="K15" s="159"/>
      <c r="L15" s="189">
        <f t="shared" si="0"/>
        <v>100</v>
      </c>
      <c r="M15" s="190">
        <f t="shared" si="1"/>
        <v>2</v>
      </c>
      <c r="N15" s="185"/>
      <c r="O15" s="119" t="s">
        <v>109</v>
      </c>
      <c r="P15" s="120">
        <f>SUM(P12:P13)+P9</f>
        <v>147000</v>
      </c>
    </row>
    <row r="16" spans="1:16" ht="16.5" thickTop="1" thickBot="1" x14ac:dyDescent="0.3">
      <c r="A16" s="191" t="s">
        <v>110</v>
      </c>
      <c r="B16" s="165">
        <f>SUM(B6:B15)</f>
        <v>200</v>
      </c>
      <c r="C16" s="166">
        <f>SUM(C6:C15)</f>
        <v>4</v>
      </c>
      <c r="D16" s="167">
        <f>SUM(D8:D15)</f>
        <v>500</v>
      </c>
      <c r="E16" s="168">
        <f>SUM(E8:E15)</f>
        <v>7</v>
      </c>
      <c r="F16" s="169">
        <f>SUM(F11:F15)</f>
        <v>300</v>
      </c>
      <c r="G16" s="170">
        <f>SUM(G11:G15)</f>
        <v>6</v>
      </c>
      <c r="H16" s="175">
        <f>SUM(H14:H15)</f>
        <v>200</v>
      </c>
      <c r="I16" s="176">
        <f>SUM(I14:I15)</f>
        <v>4</v>
      </c>
      <c r="J16" s="173">
        <f>SUM(J14:J15)</f>
        <v>0</v>
      </c>
      <c r="K16" s="174">
        <f>SUM(K14:K15)</f>
        <v>0</v>
      </c>
      <c r="L16" s="192">
        <f>H16+F16+D16+B16+J16</f>
        <v>1200</v>
      </c>
      <c r="M16" s="193">
        <f>I16+G16+E16+C16+K16</f>
        <v>21</v>
      </c>
      <c r="O16" s="121" t="s">
        <v>111</v>
      </c>
      <c r="P16" s="122">
        <f>SUM(P12:P13)+P10</f>
        <v>73500</v>
      </c>
    </row>
    <row r="17" spans="1:16" s="110" customFormat="1" ht="17.25" thickTop="1" thickBot="1" x14ac:dyDescent="0.25">
      <c r="A17" s="123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09"/>
      <c r="M17" s="109"/>
    </row>
    <row r="18" spans="1:16" s="111" customFormat="1" ht="18" x14ac:dyDescent="0.2">
      <c r="A18" s="177" t="s">
        <v>112</v>
      </c>
      <c r="B18" s="130" t="s">
        <v>93</v>
      </c>
      <c r="C18" s="131" t="s">
        <v>94</v>
      </c>
      <c r="D18" s="132" t="s">
        <v>93</v>
      </c>
      <c r="E18" s="133" t="s">
        <v>94</v>
      </c>
      <c r="F18" s="134" t="s">
        <v>93</v>
      </c>
      <c r="G18" s="135" t="s">
        <v>94</v>
      </c>
      <c r="H18" s="136" t="s">
        <v>93</v>
      </c>
      <c r="I18" s="137" t="s">
        <v>94</v>
      </c>
      <c r="J18" s="138" t="s">
        <v>93</v>
      </c>
      <c r="K18" s="139" t="s">
        <v>94</v>
      </c>
      <c r="L18" s="127" t="s">
        <v>93</v>
      </c>
      <c r="M18" s="128" t="s">
        <v>94</v>
      </c>
      <c r="O18" s="124"/>
      <c r="P18" s="125"/>
    </row>
    <row r="19" spans="1:16" ht="14.25" x14ac:dyDescent="0.2">
      <c r="A19" s="185" t="s">
        <v>95</v>
      </c>
      <c r="B19" s="140"/>
      <c r="C19" s="141"/>
      <c r="D19" s="142">
        <v>100</v>
      </c>
      <c r="E19" s="143">
        <v>2</v>
      </c>
      <c r="F19" s="144"/>
      <c r="G19" s="145"/>
      <c r="H19" s="146"/>
      <c r="I19" s="147"/>
      <c r="J19" s="148"/>
      <c r="K19" s="149"/>
      <c r="L19" s="186">
        <f t="shared" ref="L19:M26" si="2">H19+F19+D19+B19+J19</f>
        <v>100</v>
      </c>
      <c r="M19" s="187">
        <f t="shared" si="2"/>
        <v>2</v>
      </c>
      <c r="O19" s="114"/>
      <c r="P19" s="115"/>
    </row>
    <row r="20" spans="1:16" ht="14.25" x14ac:dyDescent="0.2">
      <c r="A20" s="188" t="s">
        <v>113</v>
      </c>
      <c r="B20" s="140"/>
      <c r="C20" s="141"/>
      <c r="D20" s="142">
        <v>100</v>
      </c>
      <c r="E20" s="143">
        <v>2</v>
      </c>
      <c r="F20" s="144"/>
      <c r="G20" s="145"/>
      <c r="H20" s="146"/>
      <c r="I20" s="147"/>
      <c r="J20" s="148"/>
      <c r="K20" s="149"/>
      <c r="L20" s="186">
        <f t="shared" si="2"/>
        <v>100</v>
      </c>
      <c r="M20" s="187">
        <f t="shared" si="2"/>
        <v>2</v>
      </c>
      <c r="O20" s="116" t="s">
        <v>99</v>
      </c>
      <c r="P20" s="117">
        <f>M27*pris</f>
        <v>112000</v>
      </c>
    </row>
    <row r="21" spans="1:16" ht="14.25" x14ac:dyDescent="0.2">
      <c r="A21" s="185" t="s">
        <v>114</v>
      </c>
      <c r="B21" s="140"/>
      <c r="C21" s="141"/>
      <c r="D21" s="142">
        <v>100</v>
      </c>
      <c r="E21" s="143">
        <v>2</v>
      </c>
      <c r="F21" s="144"/>
      <c r="G21" s="145"/>
      <c r="H21" s="146"/>
      <c r="I21" s="147"/>
      <c r="J21" s="148"/>
      <c r="K21" s="149"/>
      <c r="L21" s="186">
        <f t="shared" si="2"/>
        <v>100</v>
      </c>
      <c r="M21" s="187">
        <f t="shared" si="2"/>
        <v>2</v>
      </c>
      <c r="O21" s="116" t="s">
        <v>101</v>
      </c>
      <c r="P21" s="117">
        <f>P20/2</f>
        <v>56000</v>
      </c>
    </row>
    <row r="22" spans="1:16" ht="14.25" x14ac:dyDescent="0.2">
      <c r="A22" s="188" t="s">
        <v>115</v>
      </c>
      <c r="B22" s="140"/>
      <c r="C22" s="141"/>
      <c r="D22" s="142"/>
      <c r="E22" s="143"/>
      <c r="F22" s="144">
        <v>100</v>
      </c>
      <c r="G22" s="145">
        <v>2</v>
      </c>
      <c r="H22" s="146"/>
      <c r="I22" s="147"/>
      <c r="J22" s="148"/>
      <c r="K22" s="149"/>
      <c r="L22" s="186">
        <f t="shared" si="2"/>
        <v>100</v>
      </c>
      <c r="M22" s="187">
        <f t="shared" si="2"/>
        <v>2</v>
      </c>
      <c r="O22" s="116"/>
      <c r="P22" s="117"/>
    </row>
    <row r="23" spans="1:16" ht="14.25" x14ac:dyDescent="0.2">
      <c r="A23" s="188" t="s">
        <v>116</v>
      </c>
      <c r="B23" s="140"/>
      <c r="C23" s="141"/>
      <c r="D23" s="142"/>
      <c r="E23" s="143"/>
      <c r="F23" s="144">
        <v>100</v>
      </c>
      <c r="G23" s="145">
        <v>2</v>
      </c>
      <c r="H23" s="146"/>
      <c r="I23" s="147"/>
      <c r="J23" s="148"/>
      <c r="K23" s="149"/>
      <c r="L23" s="186">
        <f t="shared" si="2"/>
        <v>100</v>
      </c>
      <c r="M23" s="187">
        <f t="shared" si="2"/>
        <v>2</v>
      </c>
      <c r="O23" s="116" t="s">
        <v>104</v>
      </c>
      <c r="P23" s="117">
        <f>M27*boende</f>
        <v>0</v>
      </c>
    </row>
    <row r="24" spans="1:16" ht="14.25" x14ac:dyDescent="0.2">
      <c r="A24" s="188" t="s">
        <v>117</v>
      </c>
      <c r="B24" s="140"/>
      <c r="C24" s="141"/>
      <c r="D24" s="142"/>
      <c r="E24" s="143"/>
      <c r="F24" s="144"/>
      <c r="G24" s="145"/>
      <c r="H24" s="146">
        <v>100</v>
      </c>
      <c r="I24" s="147">
        <v>2</v>
      </c>
      <c r="J24" s="148"/>
      <c r="K24" s="149"/>
      <c r="L24" s="186">
        <f t="shared" si="2"/>
        <v>100</v>
      </c>
      <c r="M24" s="187">
        <f t="shared" si="2"/>
        <v>2</v>
      </c>
      <c r="O24" s="116" t="s">
        <v>106</v>
      </c>
      <c r="P24" s="117">
        <f>M27*resa</f>
        <v>0</v>
      </c>
    </row>
    <row r="25" spans="1:16" ht="14.25" x14ac:dyDescent="0.2">
      <c r="A25" s="188" t="s">
        <v>118</v>
      </c>
      <c r="B25" s="140"/>
      <c r="C25" s="141"/>
      <c r="D25" s="142"/>
      <c r="E25" s="143"/>
      <c r="F25" s="144"/>
      <c r="G25" s="145"/>
      <c r="H25" s="146">
        <v>100</v>
      </c>
      <c r="I25" s="147">
        <v>2</v>
      </c>
      <c r="J25" s="148"/>
      <c r="K25" s="149"/>
      <c r="L25" s="186">
        <f t="shared" si="2"/>
        <v>100</v>
      </c>
      <c r="M25" s="187">
        <f t="shared" si="2"/>
        <v>2</v>
      </c>
      <c r="O25" s="116"/>
      <c r="P25" s="117"/>
    </row>
    <row r="26" spans="1:16" thickBot="1" x14ac:dyDescent="0.25">
      <c r="A26" s="185" t="s">
        <v>119</v>
      </c>
      <c r="B26" s="150"/>
      <c r="C26" s="151"/>
      <c r="D26" s="152"/>
      <c r="E26" s="153"/>
      <c r="F26" s="154"/>
      <c r="G26" s="155"/>
      <c r="H26" s="156"/>
      <c r="I26" s="157"/>
      <c r="J26" s="158">
        <v>100</v>
      </c>
      <c r="K26" s="159">
        <v>2</v>
      </c>
      <c r="L26" s="189">
        <f t="shared" si="2"/>
        <v>100</v>
      </c>
      <c r="M26" s="190">
        <f t="shared" si="2"/>
        <v>2</v>
      </c>
      <c r="O26" s="119" t="s">
        <v>109</v>
      </c>
      <c r="P26" s="120">
        <f>SUM(P23:P24)+P20</f>
        <v>112000</v>
      </c>
    </row>
    <row r="27" spans="1:16" ht="15.75" thickTop="1" thickBot="1" x14ac:dyDescent="0.25">
      <c r="A27" s="194" t="s">
        <v>110</v>
      </c>
      <c r="B27" s="195">
        <f t="shared" ref="B27:I27" si="3">SUM(B19:B26)</f>
        <v>0</v>
      </c>
      <c r="C27" s="196">
        <f t="shared" si="3"/>
        <v>0</v>
      </c>
      <c r="D27" s="197">
        <f t="shared" si="3"/>
        <v>300</v>
      </c>
      <c r="E27" s="198">
        <f t="shared" si="3"/>
        <v>6</v>
      </c>
      <c r="F27" s="199">
        <f t="shared" si="3"/>
        <v>200</v>
      </c>
      <c r="G27" s="200">
        <f t="shared" si="3"/>
        <v>4</v>
      </c>
      <c r="H27" s="201">
        <f t="shared" si="3"/>
        <v>200</v>
      </c>
      <c r="I27" s="202">
        <f t="shared" si="3"/>
        <v>4</v>
      </c>
      <c r="J27" s="203">
        <f t="shared" ref="J27:K27" si="4">SUM(J19:J26)</f>
        <v>100</v>
      </c>
      <c r="K27" s="204">
        <f t="shared" si="4"/>
        <v>2</v>
      </c>
      <c r="L27" s="205">
        <f>H27+F27+D27+B27+J27</f>
        <v>800</v>
      </c>
      <c r="M27" s="206">
        <f>I27+G27+E27+C27+K27</f>
        <v>16</v>
      </c>
      <c r="O27" s="121" t="s">
        <v>111</v>
      </c>
      <c r="P27" s="122">
        <f>SUM(P23:P24)+P21</f>
        <v>56000</v>
      </c>
    </row>
    <row r="28" spans="1:16" s="110" customFormat="1" ht="15.75" thickTop="1" x14ac:dyDescent="0.2">
      <c r="A28" s="107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9"/>
      <c r="M28" s="109"/>
    </row>
    <row r="29" spans="1:16" s="111" customFormat="1" ht="18" hidden="1" x14ac:dyDescent="0.2">
      <c r="A29" s="177" t="s">
        <v>120</v>
      </c>
      <c r="B29" s="130" t="s">
        <v>93</v>
      </c>
      <c r="C29" s="131" t="s">
        <v>94</v>
      </c>
      <c r="D29" s="132" t="s">
        <v>93</v>
      </c>
      <c r="E29" s="133" t="s">
        <v>94</v>
      </c>
      <c r="F29" s="134" t="s">
        <v>93</v>
      </c>
      <c r="G29" s="135" t="s">
        <v>94</v>
      </c>
      <c r="H29" s="136" t="s">
        <v>93</v>
      </c>
      <c r="I29" s="137" t="s">
        <v>94</v>
      </c>
      <c r="J29" s="138" t="s">
        <v>93</v>
      </c>
      <c r="K29" s="139" t="s">
        <v>94</v>
      </c>
      <c r="L29" s="127" t="s">
        <v>93</v>
      </c>
      <c r="M29" s="128" t="s">
        <v>94</v>
      </c>
      <c r="O29" s="124"/>
      <c r="P29" s="125"/>
    </row>
    <row r="30" spans="1:16" ht="14.25" hidden="1" x14ac:dyDescent="0.2">
      <c r="A30" s="185" t="s">
        <v>121</v>
      </c>
      <c r="B30" s="140"/>
      <c r="C30" s="141"/>
      <c r="D30" s="142"/>
      <c r="E30" s="143">
        <v>0.2</v>
      </c>
      <c r="F30" s="144"/>
      <c r="G30" s="145"/>
      <c r="H30" s="161"/>
      <c r="I30" s="162"/>
      <c r="J30" s="148"/>
      <c r="K30" s="149"/>
      <c r="L30" s="186">
        <f t="shared" ref="L30:M36" si="5">H30+F30+D30+B30+J30</f>
        <v>0</v>
      </c>
      <c r="M30" s="187">
        <f t="shared" si="5"/>
        <v>0.2</v>
      </c>
      <c r="O30" s="116" t="s">
        <v>99</v>
      </c>
      <c r="P30" s="117">
        <f>M37*pris</f>
        <v>84000</v>
      </c>
    </row>
    <row r="31" spans="1:16" ht="14.25" hidden="1" x14ac:dyDescent="0.2">
      <c r="A31" s="188" t="s">
        <v>102</v>
      </c>
      <c r="B31" s="140"/>
      <c r="C31" s="141"/>
      <c r="D31" s="142">
        <v>100</v>
      </c>
      <c r="E31" s="143">
        <v>2</v>
      </c>
      <c r="F31" s="144"/>
      <c r="G31" s="145"/>
      <c r="H31" s="161"/>
      <c r="I31" s="162"/>
      <c r="J31" s="148"/>
      <c r="K31" s="149"/>
      <c r="L31" s="186">
        <f t="shared" si="5"/>
        <v>100</v>
      </c>
      <c r="M31" s="187">
        <f t="shared" si="5"/>
        <v>2</v>
      </c>
      <c r="O31" s="116" t="s">
        <v>101</v>
      </c>
      <c r="P31" s="117">
        <f>P30/2</f>
        <v>42000</v>
      </c>
    </row>
    <row r="32" spans="1:16" ht="14.25" hidden="1" x14ac:dyDescent="0.2">
      <c r="A32" s="188" t="s">
        <v>122</v>
      </c>
      <c r="B32" s="140"/>
      <c r="C32" s="141"/>
      <c r="D32" s="142">
        <v>100</v>
      </c>
      <c r="E32" s="143">
        <v>2</v>
      </c>
      <c r="F32" s="144"/>
      <c r="G32" s="145"/>
      <c r="H32" s="161"/>
      <c r="I32" s="162"/>
      <c r="J32" s="148"/>
      <c r="K32" s="149"/>
      <c r="L32" s="186">
        <f t="shared" si="5"/>
        <v>100</v>
      </c>
      <c r="M32" s="187">
        <f t="shared" si="5"/>
        <v>2</v>
      </c>
      <c r="O32" s="116"/>
      <c r="P32" s="117"/>
    </row>
    <row r="33" spans="1:17" ht="14.25" hidden="1" x14ac:dyDescent="0.2">
      <c r="A33" s="188" t="s">
        <v>123</v>
      </c>
      <c r="B33" s="140"/>
      <c r="C33" s="141"/>
      <c r="D33" s="142"/>
      <c r="E33" s="143"/>
      <c r="F33" s="144">
        <v>100</v>
      </c>
      <c r="G33" s="145">
        <v>2</v>
      </c>
      <c r="H33" s="161"/>
      <c r="I33" s="162"/>
      <c r="J33" s="148"/>
      <c r="K33" s="149"/>
      <c r="L33" s="186">
        <f t="shared" si="5"/>
        <v>100</v>
      </c>
      <c r="M33" s="187">
        <f t="shared" si="5"/>
        <v>2</v>
      </c>
      <c r="O33" s="116" t="s">
        <v>104</v>
      </c>
      <c r="P33" s="117">
        <f>M37*boende</f>
        <v>0</v>
      </c>
    </row>
    <row r="34" spans="1:17" ht="14.25" hidden="1" x14ac:dyDescent="0.2">
      <c r="A34" s="188" t="s">
        <v>124</v>
      </c>
      <c r="B34" s="140"/>
      <c r="C34" s="141"/>
      <c r="D34" s="142"/>
      <c r="E34" s="143"/>
      <c r="F34" s="144">
        <v>100</v>
      </c>
      <c r="G34" s="145">
        <v>2</v>
      </c>
      <c r="H34" s="161"/>
      <c r="I34" s="162"/>
      <c r="J34" s="148"/>
      <c r="K34" s="149"/>
      <c r="L34" s="186">
        <f t="shared" si="5"/>
        <v>100</v>
      </c>
      <c r="M34" s="187">
        <f t="shared" si="5"/>
        <v>2</v>
      </c>
      <c r="O34" s="116" t="s">
        <v>106</v>
      </c>
      <c r="P34" s="117">
        <f>M37*resa</f>
        <v>0</v>
      </c>
    </row>
    <row r="35" spans="1:17" ht="14.25" hidden="1" x14ac:dyDescent="0.2">
      <c r="A35" s="188" t="s">
        <v>103</v>
      </c>
      <c r="B35" s="140"/>
      <c r="C35" s="141"/>
      <c r="D35" s="142"/>
      <c r="E35" s="143"/>
      <c r="F35" s="144"/>
      <c r="G35" s="145"/>
      <c r="H35" s="161">
        <f>Utbildningsplan!P269</f>
        <v>0</v>
      </c>
      <c r="I35" s="162">
        <v>2</v>
      </c>
      <c r="J35" s="148"/>
      <c r="K35" s="149"/>
      <c r="L35" s="186">
        <f t="shared" si="5"/>
        <v>0</v>
      </c>
      <c r="M35" s="187">
        <f t="shared" si="5"/>
        <v>2</v>
      </c>
      <c r="O35" s="116"/>
      <c r="P35" s="117"/>
    </row>
    <row r="36" spans="1:17" hidden="1" thickBot="1" x14ac:dyDescent="0.25">
      <c r="A36" s="185" t="s">
        <v>119</v>
      </c>
      <c r="B36" s="150"/>
      <c r="C36" s="151"/>
      <c r="D36" s="152"/>
      <c r="E36" s="153"/>
      <c r="F36" s="154"/>
      <c r="G36" s="155"/>
      <c r="H36" s="163"/>
      <c r="I36" s="164"/>
      <c r="J36" s="158">
        <v>100</v>
      </c>
      <c r="K36" s="159">
        <v>2</v>
      </c>
      <c r="L36" s="189">
        <f t="shared" si="5"/>
        <v>100</v>
      </c>
      <c r="M36" s="190">
        <f t="shared" si="5"/>
        <v>2</v>
      </c>
      <c r="O36" s="119" t="s">
        <v>109</v>
      </c>
      <c r="P36" s="120">
        <f>SUM(P33:P34)+P30</f>
        <v>84000</v>
      </c>
    </row>
    <row r="37" spans="1:17" ht="16.5" hidden="1" thickTop="1" thickBot="1" x14ac:dyDescent="0.3">
      <c r="A37" s="191" t="s">
        <v>110</v>
      </c>
      <c r="B37" s="165">
        <f t="shared" ref="B37:I37" si="6">SUM(B31:B36)</f>
        <v>0</v>
      </c>
      <c r="C37" s="166">
        <f t="shared" si="6"/>
        <v>0</v>
      </c>
      <c r="D37" s="167">
        <f t="shared" si="6"/>
        <v>200</v>
      </c>
      <c r="E37" s="168">
        <f t="shared" si="6"/>
        <v>4</v>
      </c>
      <c r="F37" s="169">
        <f t="shared" si="6"/>
        <v>200</v>
      </c>
      <c r="G37" s="170">
        <f t="shared" si="6"/>
        <v>4</v>
      </c>
      <c r="H37" s="171">
        <f t="shared" si="6"/>
        <v>0</v>
      </c>
      <c r="I37" s="172">
        <f t="shared" si="6"/>
        <v>2</v>
      </c>
      <c r="J37" s="173">
        <f t="shared" ref="J37:K37" si="7">SUM(J31:J36)</f>
        <v>100</v>
      </c>
      <c r="K37" s="174">
        <f t="shared" si="7"/>
        <v>2</v>
      </c>
      <c r="L37" s="192">
        <f>H37+F37+D37+B37+J37</f>
        <v>500</v>
      </c>
      <c r="M37" s="193">
        <f>I37+G37+E37+C37+K37</f>
        <v>12</v>
      </c>
      <c r="O37" s="121" t="s">
        <v>111</v>
      </c>
      <c r="P37" s="122">
        <f>SUM(P33:P34)+P31</f>
        <v>42000</v>
      </c>
    </row>
    <row r="38" spans="1:17" ht="15.75" hidden="1" thickTop="1" x14ac:dyDescent="0.2"/>
    <row r="39" spans="1:17" x14ac:dyDescent="0.2">
      <c r="O39" s="91" t="s">
        <v>125</v>
      </c>
      <c r="P39" s="126">
        <v>7000</v>
      </c>
      <c r="Q39" s="61"/>
    </row>
    <row r="40" spans="1:17" ht="14.25" x14ac:dyDescent="0.2">
      <c r="A40" s="20"/>
      <c r="O40" s="91" t="s">
        <v>126</v>
      </c>
      <c r="P40" s="178"/>
      <c r="Q40" s="62" t="s">
        <v>158</v>
      </c>
    </row>
    <row r="41" spans="1:17" ht="14.25" x14ac:dyDescent="0.2">
      <c r="A41" s="20"/>
      <c r="O41" s="91" t="s">
        <v>156</v>
      </c>
      <c r="P41" s="178"/>
      <c r="Q41" s="62" t="s">
        <v>157</v>
      </c>
    </row>
    <row r="42" spans="1:17" ht="14.25" x14ac:dyDescent="0.2">
      <c r="A42" s="20"/>
      <c r="O42" s="91" t="s">
        <v>154</v>
      </c>
      <c r="P42" s="178"/>
      <c r="Q42" s="62"/>
    </row>
    <row r="43" spans="1:17" ht="14.25" x14ac:dyDescent="0.2">
      <c r="A43" s="20"/>
      <c r="P43" s="179" t="s">
        <v>139</v>
      </c>
    </row>
  </sheetData>
  <sheetProtection algorithmName="SHA-512" hashValue="39jRABA8E9qEPWDe7O2a3PqXaI3X3+0yBmHWBTcG6QtTWf7SUdwmZ9asdaXX4rm9XUhyp3sn7DgMfSnEeSNmAA==" saltValue="VqcVgVL6tG0MRASJ+q1AHA==" spinCount="100000" sheet="1" objects="1" scenarios="1" selectLockedCells="1"/>
  <mergeCells count="7">
    <mergeCell ref="O3:P3"/>
    <mergeCell ref="B3:C3"/>
    <mergeCell ref="D3:E3"/>
    <mergeCell ref="F3:G3"/>
    <mergeCell ref="H3:I3"/>
    <mergeCell ref="J3:K3"/>
    <mergeCell ref="L3:M3"/>
  </mergeCells>
  <pageMargins left="0.25" right="0.25" top="0.75" bottom="0.75" header="0.3" footer="0.3"/>
  <pageSetup paperSize="9" scale="37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32"/>
  <sheetViews>
    <sheetView showGridLines="0" zoomScale="110" zoomScaleNormal="110" zoomScalePageLayoutView="106" workbookViewId="0">
      <selection activeCell="B12" sqref="B12"/>
    </sheetView>
  </sheetViews>
  <sheetFormatPr defaultColWidth="26" defaultRowHeight="14.25" x14ac:dyDescent="0.2"/>
  <cols>
    <col min="1" max="1" width="10.25" style="33" customWidth="1"/>
    <col min="2" max="2" width="27.75" style="33" customWidth="1"/>
    <col min="3" max="3" width="10.125" style="33" customWidth="1"/>
    <col min="4" max="4" width="21.25" style="33" customWidth="1"/>
    <col min="5" max="5" width="13.5" style="33" customWidth="1"/>
    <col min="6" max="6" width="7.125" style="33" hidden="1" customWidth="1"/>
    <col min="7" max="7" width="6.75" style="33" hidden="1" customWidth="1"/>
    <col min="8" max="8" width="6.125" style="33" hidden="1" customWidth="1"/>
    <col min="9" max="9" width="26" style="180"/>
    <col min="10" max="16384" width="26" style="33"/>
  </cols>
  <sheetData>
    <row r="2" spans="1:9" ht="5.25" customHeight="1" x14ac:dyDescent="0.2">
      <c r="A2" s="264" t="s">
        <v>136</v>
      </c>
      <c r="B2" s="265"/>
      <c r="C2" s="265"/>
      <c r="D2" s="265"/>
      <c r="E2" s="265"/>
    </row>
    <row r="3" spans="1:9" ht="5.25" customHeight="1" x14ac:dyDescent="0.2">
      <c r="A3" s="264"/>
      <c r="B3" s="265"/>
      <c r="C3" s="265"/>
      <c r="D3" s="265"/>
      <c r="E3" s="265"/>
    </row>
    <row r="4" spans="1:9" ht="63.75" customHeight="1" x14ac:dyDescent="0.2">
      <c r="A4" s="264"/>
      <c r="B4" s="265"/>
      <c r="C4" s="265"/>
      <c r="D4" s="265"/>
      <c r="E4" s="265"/>
    </row>
    <row r="5" spans="1:9" ht="7.5" customHeight="1" thickBot="1" x14ac:dyDescent="0.25"/>
    <row r="6" spans="1:9" ht="22.5" customHeight="1" x14ac:dyDescent="0.25">
      <c r="A6" s="34" t="s">
        <v>0</v>
      </c>
      <c r="B6" s="68">
        <f>'Investering företaglärling'!B4</f>
        <v>0</v>
      </c>
      <c r="E6" s="270">
        <f>IF(B9&gt;0,B9+B10,((B6+B7)/174))</f>
        <v>0</v>
      </c>
    </row>
    <row r="7" spans="1:9" ht="22.5" x14ac:dyDescent="0.2">
      <c r="A7" s="35" t="s">
        <v>68</v>
      </c>
      <c r="B7" s="68">
        <f>'Investering företaglärling'!B5</f>
        <v>0</v>
      </c>
      <c r="E7" s="271"/>
      <c r="I7" s="180" t="s">
        <v>83</v>
      </c>
    </row>
    <row r="8" spans="1:9" ht="8.25" customHeight="1" x14ac:dyDescent="0.2">
      <c r="A8" s="35"/>
      <c r="E8" s="271"/>
    </row>
    <row r="9" spans="1:9" ht="20.45" hidden="1" customHeight="1" thickBot="1" x14ac:dyDescent="0.3">
      <c r="A9" s="34" t="s">
        <v>1</v>
      </c>
      <c r="B9" s="64">
        <v>0</v>
      </c>
      <c r="E9" s="272"/>
      <c r="F9" s="36">
        <f>(E6*1.1284)*(2088-200-88-116-29-B12)</f>
        <v>0</v>
      </c>
    </row>
    <row r="10" spans="1:9" ht="22.5" hidden="1" customHeight="1" x14ac:dyDescent="0.2">
      <c r="A10" s="35" t="s">
        <v>69</v>
      </c>
      <c r="B10" s="64">
        <v>0</v>
      </c>
      <c r="F10" s="37">
        <f>(B12*E6)*0.8</f>
        <v>0</v>
      </c>
    </row>
    <row r="11" spans="1:9" ht="6.75" hidden="1" customHeight="1" x14ac:dyDescent="0.2">
      <c r="A11" s="35"/>
    </row>
    <row r="12" spans="1:9" ht="27.75" customHeight="1" thickBot="1" x14ac:dyDescent="0.25">
      <c r="A12" s="35" t="s">
        <v>70</v>
      </c>
      <c r="B12" s="31">
        <v>37</v>
      </c>
    </row>
    <row r="13" spans="1:9" ht="18.600000000000001" customHeight="1" thickBot="1" x14ac:dyDescent="0.25">
      <c r="A13" s="38"/>
      <c r="B13" s="39" t="s">
        <v>2</v>
      </c>
      <c r="C13" s="273" t="s">
        <v>3</v>
      </c>
      <c r="D13" s="274"/>
      <c r="E13" s="40" t="s">
        <v>4</v>
      </c>
    </row>
    <row r="14" spans="1:9" ht="18.600000000000001" customHeight="1" x14ac:dyDescent="0.2">
      <c r="A14" s="237" t="s">
        <v>5</v>
      </c>
      <c r="B14" s="250" t="s">
        <v>6</v>
      </c>
      <c r="C14" s="248" t="s">
        <v>71</v>
      </c>
      <c r="D14" s="249"/>
      <c r="E14" s="239">
        <f>E6*(1+F14)</f>
        <v>0</v>
      </c>
      <c r="F14" s="241">
        <f>IF(E6&gt;0,((F10/F9)*100)/100,0)</f>
        <v>0</v>
      </c>
    </row>
    <row r="15" spans="1:9" ht="12.75" customHeight="1" thickBot="1" x14ac:dyDescent="0.25">
      <c r="A15" s="238"/>
      <c r="B15" s="251"/>
      <c r="C15" s="275">
        <f>F14</f>
        <v>0</v>
      </c>
      <c r="D15" s="276"/>
      <c r="E15" s="240"/>
      <c r="F15" s="241"/>
    </row>
    <row r="16" spans="1:9" ht="15" thickBot="1" x14ac:dyDescent="0.25">
      <c r="A16" s="41" t="s">
        <v>7</v>
      </c>
      <c r="B16" s="42" t="s">
        <v>8</v>
      </c>
      <c r="C16" s="259" t="s">
        <v>9</v>
      </c>
      <c r="D16" s="253"/>
      <c r="E16" s="43">
        <f>$E$14*F16</f>
        <v>0</v>
      </c>
      <c r="F16" s="44">
        <v>0.31419999999999998</v>
      </c>
    </row>
    <row r="17" spans="1:9" ht="15" thickBot="1" x14ac:dyDescent="0.25">
      <c r="A17" s="41" t="s">
        <v>10</v>
      </c>
      <c r="B17" s="42" t="s">
        <v>11</v>
      </c>
      <c r="C17" s="259" t="s">
        <v>12</v>
      </c>
      <c r="D17" s="253"/>
      <c r="E17" s="43">
        <f>$E$14*F17</f>
        <v>0</v>
      </c>
      <c r="F17" s="44">
        <v>0.12839999999999999</v>
      </c>
    </row>
    <row r="18" spans="1:9" ht="27" customHeight="1" thickBot="1" x14ac:dyDescent="0.25">
      <c r="A18" s="41" t="s">
        <v>13</v>
      </c>
      <c r="B18" s="42" t="s">
        <v>14</v>
      </c>
      <c r="C18" s="259" t="s">
        <v>15</v>
      </c>
      <c r="D18" s="253"/>
      <c r="E18" s="43">
        <f>$E$14*F18</f>
        <v>0</v>
      </c>
      <c r="F18" s="44">
        <f>H18</f>
        <v>0</v>
      </c>
      <c r="G18" s="36">
        <f>29*E6</f>
        <v>0</v>
      </c>
      <c r="H18" s="207">
        <f>IF(E6&gt;0,G18/F9,0)</f>
        <v>0</v>
      </c>
    </row>
    <row r="19" spans="1:9" x14ac:dyDescent="0.2">
      <c r="A19" s="260" t="s">
        <v>16</v>
      </c>
      <c r="B19" s="45" t="s">
        <v>17</v>
      </c>
      <c r="C19" s="242" t="s">
        <v>149</v>
      </c>
      <c r="D19" s="243"/>
      <c r="E19" s="239">
        <f>E14*F19</f>
        <v>0</v>
      </c>
      <c r="F19" s="44">
        <f>H19</f>
        <v>0</v>
      </c>
      <c r="G19" s="36">
        <f>96*E6</f>
        <v>0</v>
      </c>
      <c r="H19" s="207">
        <f>IF(E6&gt;0,G19/F9,0)</f>
        <v>0</v>
      </c>
    </row>
    <row r="20" spans="1:9" ht="15" thickBot="1" x14ac:dyDescent="0.25">
      <c r="A20" s="261"/>
      <c r="B20" s="47" t="s">
        <v>18</v>
      </c>
      <c r="C20" s="252"/>
      <c r="D20" s="267"/>
      <c r="E20" s="240"/>
    </row>
    <row r="21" spans="1:9" ht="26.25" thickBot="1" x14ac:dyDescent="0.25">
      <c r="A21" s="41" t="s">
        <v>19</v>
      </c>
      <c r="B21" s="42" t="s">
        <v>20</v>
      </c>
      <c r="C21" s="259" t="s">
        <v>150</v>
      </c>
      <c r="D21" s="253"/>
      <c r="E21" s="43">
        <f>E14*F21</f>
        <v>0</v>
      </c>
      <c r="F21" s="44">
        <v>2.3749999999999999E-3</v>
      </c>
    </row>
    <row r="22" spans="1:9" ht="14.25" customHeight="1" x14ac:dyDescent="0.2">
      <c r="A22" s="260" t="s">
        <v>22</v>
      </c>
      <c r="B22" s="45" t="s">
        <v>23</v>
      </c>
      <c r="C22" s="242" t="s">
        <v>60</v>
      </c>
      <c r="D22" s="243"/>
      <c r="E22" s="246">
        <f>E14*F22</f>
        <v>0</v>
      </c>
      <c r="F22" s="268">
        <v>4.4999999999999998E-2</v>
      </c>
    </row>
    <row r="23" spans="1:9" ht="22.5" customHeight="1" thickBot="1" x14ac:dyDescent="0.25">
      <c r="A23" s="269"/>
      <c r="B23" s="48" t="s">
        <v>25</v>
      </c>
      <c r="C23" s="244"/>
      <c r="D23" s="245"/>
      <c r="E23" s="247"/>
      <c r="F23" s="268"/>
      <c r="H23" s="49"/>
      <c r="I23" s="181"/>
    </row>
    <row r="24" spans="1:9" ht="34.5" thickBot="1" x14ac:dyDescent="0.25">
      <c r="A24" s="261"/>
      <c r="B24" s="50" t="s">
        <v>26</v>
      </c>
      <c r="C24" s="252" t="s">
        <v>151</v>
      </c>
      <c r="D24" s="267"/>
      <c r="E24" s="49">
        <f>IF(E6&gt;231.56,(E6-231.56)*F24,0)</f>
        <v>0</v>
      </c>
      <c r="F24" s="51">
        <v>0.3</v>
      </c>
    </row>
    <row r="25" spans="1:9" ht="24.75" thickBot="1" x14ac:dyDescent="0.25">
      <c r="A25" s="52" t="s">
        <v>27</v>
      </c>
      <c r="B25" s="53" t="s">
        <v>28</v>
      </c>
      <c r="C25" s="257" t="s">
        <v>29</v>
      </c>
      <c r="D25" s="258"/>
      <c r="E25" s="43">
        <f>(E22+E24)*F25</f>
        <v>0</v>
      </c>
      <c r="F25" s="44">
        <v>0.24260000000000001</v>
      </c>
      <c r="I25" s="180" t="s">
        <v>82</v>
      </c>
    </row>
    <row r="26" spans="1:9" ht="15" thickBot="1" x14ac:dyDescent="0.25">
      <c r="A26" s="41" t="s">
        <v>30</v>
      </c>
      <c r="B26" s="42" t="s">
        <v>31</v>
      </c>
      <c r="C26" s="259" t="s">
        <v>152</v>
      </c>
      <c r="D26" s="253"/>
      <c r="E26" s="43">
        <f>E14*F26</f>
        <v>0</v>
      </c>
      <c r="F26" s="44">
        <v>1.4999999999999999E-2</v>
      </c>
      <c r="I26" s="180" t="s">
        <v>81</v>
      </c>
    </row>
    <row r="27" spans="1:9" ht="24.75" thickBot="1" x14ac:dyDescent="0.25">
      <c r="A27" s="52" t="s">
        <v>32</v>
      </c>
      <c r="B27" s="53" t="s">
        <v>33</v>
      </c>
      <c r="C27" s="257" t="s">
        <v>34</v>
      </c>
      <c r="D27" s="258"/>
      <c r="E27" s="43">
        <f>E26*F27</f>
        <v>0</v>
      </c>
      <c r="F27" s="44">
        <v>0.24260000000000001</v>
      </c>
    </row>
    <row r="28" spans="1:9" ht="15" thickBot="1" x14ac:dyDescent="0.25">
      <c r="A28" s="41" t="s">
        <v>35</v>
      </c>
      <c r="B28" s="42" t="s">
        <v>36</v>
      </c>
      <c r="C28" s="242" t="s">
        <v>37</v>
      </c>
      <c r="D28" s="253"/>
      <c r="E28" s="43">
        <f>E14*F28</f>
        <v>0</v>
      </c>
      <c r="F28" s="44">
        <v>2.5000000000000001E-3</v>
      </c>
      <c r="I28" s="180" t="s">
        <v>81</v>
      </c>
    </row>
    <row r="29" spans="1:9" ht="36" customHeight="1" x14ac:dyDescent="0.2">
      <c r="A29" s="260" t="s">
        <v>38</v>
      </c>
      <c r="B29" s="54" t="s">
        <v>39</v>
      </c>
      <c r="C29" s="55" t="s">
        <v>40</v>
      </c>
      <c r="D29" s="262" t="str">
        <f>C30&amp;"% av Lön "</f>
        <v xml:space="preserve">1,5% av Lön </v>
      </c>
      <c r="E29" s="239">
        <f>E14*F29</f>
        <v>0</v>
      </c>
      <c r="F29" s="266">
        <f>C30/100</f>
        <v>1.4999999999999999E-2</v>
      </c>
    </row>
    <row r="30" spans="1:9" ht="45.75" thickBot="1" x14ac:dyDescent="0.25">
      <c r="A30" s="261"/>
      <c r="B30" s="56" t="s">
        <v>41</v>
      </c>
      <c r="C30" s="5">
        <v>1.5</v>
      </c>
      <c r="D30" s="263"/>
      <c r="E30" s="240"/>
      <c r="F30" s="266"/>
    </row>
    <row r="31" spans="1:9" ht="26.25" thickBot="1" x14ac:dyDescent="0.25">
      <c r="A31" s="41" t="s">
        <v>42</v>
      </c>
      <c r="B31" s="42" t="s">
        <v>43</v>
      </c>
      <c r="C31" s="252" t="s">
        <v>44</v>
      </c>
      <c r="D31" s="253"/>
      <c r="E31" s="43">
        <f>E14*F31</f>
        <v>0</v>
      </c>
      <c r="F31" s="44">
        <v>0.01</v>
      </c>
    </row>
    <row r="32" spans="1:9" ht="16.5" thickBot="1" x14ac:dyDescent="0.25">
      <c r="A32" s="254" t="s">
        <v>45</v>
      </c>
      <c r="B32" s="255"/>
      <c r="C32" s="255"/>
      <c r="D32" s="256"/>
      <c r="E32" s="57">
        <f>SUM(E14:E31)</f>
        <v>0</v>
      </c>
    </row>
  </sheetData>
  <sheetProtection algorithmName="SHA-512" hashValue="7Ohjg9cO7jdQdxEx0ahKgvoj3Dh+5tot2pyZ0cmwAVAgCs6oqlj26zjJRGUuU0UqpwhP+7W7y4lfc/kWblVctA==" saltValue="YGU0RO0QoLH2uvqiWXUE1A==" spinCount="100000" sheet="1" objects="1" scenarios="1" selectLockedCells="1"/>
  <mergeCells count="31">
    <mergeCell ref="A2:E4"/>
    <mergeCell ref="F29:F30"/>
    <mergeCell ref="C18:D18"/>
    <mergeCell ref="A19:A20"/>
    <mergeCell ref="C19:D20"/>
    <mergeCell ref="E19:E20"/>
    <mergeCell ref="F22:F23"/>
    <mergeCell ref="E29:E30"/>
    <mergeCell ref="C24:D24"/>
    <mergeCell ref="C21:D21"/>
    <mergeCell ref="A22:A24"/>
    <mergeCell ref="E6:E9"/>
    <mergeCell ref="C13:D13"/>
    <mergeCell ref="C15:D15"/>
    <mergeCell ref="C16:D16"/>
    <mergeCell ref="C17:D17"/>
    <mergeCell ref="C31:D31"/>
    <mergeCell ref="A32:D32"/>
    <mergeCell ref="C25:D25"/>
    <mergeCell ref="C26:D26"/>
    <mergeCell ref="C27:D27"/>
    <mergeCell ref="C28:D28"/>
    <mergeCell ref="A29:A30"/>
    <mergeCell ref="D29:D30"/>
    <mergeCell ref="A14:A15"/>
    <mergeCell ref="E14:E15"/>
    <mergeCell ref="F14:F15"/>
    <mergeCell ref="C22:D23"/>
    <mergeCell ref="E22:E23"/>
    <mergeCell ref="C14:D14"/>
    <mergeCell ref="B14:B15"/>
  </mergeCells>
  <pageMargins left="0.7" right="0.7" top="0.96875" bottom="0.75" header="0.3" footer="0.3"/>
  <pageSetup paperSize="9" orientation="portrait" horizontalDpi="1200" verticalDpi="1200" r:id="rId1"/>
  <headerFooter>
    <oddHeader>&amp;R&amp;G</oddHead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F26"/>
  <sheetViews>
    <sheetView view="pageLayout" zoomScaleNormal="100" workbookViewId="0">
      <selection activeCell="H11" sqref="H11"/>
    </sheetView>
  </sheetViews>
  <sheetFormatPr defaultColWidth="26" defaultRowHeight="14.25" x14ac:dyDescent="0.2"/>
  <cols>
    <col min="1" max="1" width="10.25" style="6" customWidth="1"/>
    <col min="2" max="2" width="26" style="6"/>
    <col min="3" max="3" width="10.125" style="6" customWidth="1"/>
    <col min="4" max="4" width="21.25" style="6" customWidth="1"/>
    <col min="5" max="5" width="13.5" style="6" customWidth="1"/>
    <col min="6" max="6" width="26" style="6" hidden="1" customWidth="1"/>
    <col min="7" max="16384" width="26" style="6"/>
  </cols>
  <sheetData>
    <row r="3" spans="1:6" ht="9.75" customHeight="1" x14ac:dyDescent="0.2"/>
    <row r="4" spans="1:6" ht="5.25" customHeight="1" x14ac:dyDescent="0.2">
      <c r="A4" s="294" t="s">
        <v>46</v>
      </c>
      <c r="B4" s="295"/>
    </row>
    <row r="5" spans="1:6" ht="5.25" customHeight="1" x14ac:dyDescent="0.2">
      <c r="A5" s="296"/>
      <c r="B5" s="297"/>
    </row>
    <row r="6" spans="1:6" ht="110.25" customHeight="1" x14ac:dyDescent="0.2">
      <c r="A6" s="298"/>
      <c r="B6" s="299"/>
      <c r="D6" s="300"/>
      <c r="E6" s="300"/>
    </row>
    <row r="7" spans="1:6" ht="7.5" customHeight="1" thickBot="1" x14ac:dyDescent="0.25"/>
    <row r="8" spans="1:6" ht="15" x14ac:dyDescent="0.25">
      <c r="A8" s="7" t="s">
        <v>0</v>
      </c>
      <c r="B8" s="4">
        <v>39065</v>
      </c>
      <c r="E8" s="301">
        <f>B8/174</f>
        <v>224.51149425287358</v>
      </c>
    </row>
    <row r="9" spans="1:6" ht="15.75" thickBot="1" x14ac:dyDescent="0.3">
      <c r="A9" s="7"/>
      <c r="B9" s="20"/>
      <c r="E9" s="302"/>
    </row>
    <row r="10" spans="1:6" ht="15" thickBot="1" x14ac:dyDescent="0.25"/>
    <row r="11" spans="1:6" ht="18.75" thickBot="1" x14ac:dyDescent="0.25">
      <c r="A11" s="8"/>
      <c r="B11" s="9" t="s">
        <v>2</v>
      </c>
      <c r="C11" s="303" t="s">
        <v>3</v>
      </c>
      <c r="D11" s="304" t="s">
        <v>4</v>
      </c>
      <c r="E11" s="10"/>
    </row>
    <row r="12" spans="1:6" ht="26.25" customHeight="1" thickBot="1" x14ac:dyDescent="0.25">
      <c r="A12" s="11" t="s">
        <v>47</v>
      </c>
      <c r="B12" s="12" t="s">
        <v>6</v>
      </c>
      <c r="C12" s="282" t="s">
        <v>48</v>
      </c>
      <c r="D12" s="283" t="s">
        <v>49</v>
      </c>
      <c r="E12" s="1">
        <f>E8*(1+F12)</f>
        <v>228.30573850574712</v>
      </c>
      <c r="F12" s="13">
        <v>1.6899999999999998E-2</v>
      </c>
    </row>
    <row r="13" spans="1:6" ht="15" thickBot="1" x14ac:dyDescent="0.25">
      <c r="A13" s="11" t="s">
        <v>50</v>
      </c>
      <c r="B13" s="12" t="s">
        <v>8</v>
      </c>
      <c r="C13" s="282" t="s">
        <v>9</v>
      </c>
      <c r="D13" s="283" t="s">
        <v>49</v>
      </c>
      <c r="E13" s="1">
        <f>$E$12*F13</f>
        <v>71.733663038505739</v>
      </c>
      <c r="F13" s="13">
        <v>0.31419999999999998</v>
      </c>
    </row>
    <row r="14" spans="1:6" ht="15" thickBot="1" x14ac:dyDescent="0.25">
      <c r="A14" s="11" t="s">
        <v>51</v>
      </c>
      <c r="B14" s="12" t="s">
        <v>11</v>
      </c>
      <c r="C14" s="282" t="s">
        <v>52</v>
      </c>
      <c r="D14" s="283" t="s">
        <v>49</v>
      </c>
      <c r="E14" s="1">
        <f t="shared" ref="E14:E15" si="0">$E$12*F14</f>
        <v>35.296067172988501</v>
      </c>
      <c r="F14" s="13">
        <v>0.15459999999999999</v>
      </c>
    </row>
    <row r="15" spans="1:6" ht="27" customHeight="1" thickBot="1" x14ac:dyDescent="0.25">
      <c r="A15" s="11" t="s">
        <v>53</v>
      </c>
      <c r="B15" s="12" t="s">
        <v>14</v>
      </c>
      <c r="C15" s="282" t="s">
        <v>54</v>
      </c>
      <c r="D15" s="283" t="s">
        <v>49</v>
      </c>
      <c r="E15" s="1">
        <f t="shared" si="0"/>
        <v>5.1368791163793102</v>
      </c>
      <c r="F15" s="13">
        <v>2.2499999999999999E-2</v>
      </c>
    </row>
    <row r="16" spans="1:6" x14ac:dyDescent="0.2">
      <c r="A16" s="284" t="s">
        <v>55</v>
      </c>
      <c r="B16" s="14" t="s">
        <v>17</v>
      </c>
      <c r="C16" s="287" t="s">
        <v>56</v>
      </c>
      <c r="D16" s="288" t="s">
        <v>49</v>
      </c>
      <c r="E16" s="291">
        <f>E12*F16</f>
        <v>11.301134056034483</v>
      </c>
      <c r="F16" s="13">
        <v>4.9500000000000002E-2</v>
      </c>
    </row>
    <row r="17" spans="1:6" ht="15" thickBot="1" x14ac:dyDescent="0.25">
      <c r="A17" s="285"/>
      <c r="B17" s="15" t="s">
        <v>18</v>
      </c>
      <c r="C17" s="289"/>
      <c r="D17" s="290"/>
      <c r="E17" s="292"/>
    </row>
    <row r="18" spans="1:6" ht="26.25" thickBot="1" x14ac:dyDescent="0.25">
      <c r="A18" s="11" t="s">
        <v>57</v>
      </c>
      <c r="B18" s="12" t="s">
        <v>20</v>
      </c>
      <c r="C18" s="282" t="s">
        <v>58</v>
      </c>
      <c r="D18" s="283" t="s">
        <v>49</v>
      </c>
      <c r="E18" s="1">
        <f>E12*F18</f>
        <v>1.6803302354022989</v>
      </c>
      <c r="F18" s="13">
        <v>7.3600000000000002E-3</v>
      </c>
    </row>
    <row r="19" spans="1:6" ht="14.25" customHeight="1" x14ac:dyDescent="0.2">
      <c r="A19" s="284" t="s">
        <v>59</v>
      </c>
      <c r="B19" s="14" t="s">
        <v>23</v>
      </c>
      <c r="C19" s="287" t="s">
        <v>60</v>
      </c>
      <c r="D19" s="288"/>
      <c r="E19" s="280">
        <f>E12*F19</f>
        <v>10.27375823275862</v>
      </c>
      <c r="F19" s="305">
        <v>4.4999999999999998E-2</v>
      </c>
    </row>
    <row r="20" spans="1:6" ht="22.5" x14ac:dyDescent="0.2">
      <c r="A20" s="286"/>
      <c r="B20" s="16" t="s">
        <v>61</v>
      </c>
      <c r="C20" s="293"/>
      <c r="D20" s="306"/>
      <c r="E20" s="307"/>
      <c r="F20" s="305"/>
    </row>
    <row r="21" spans="1:6" ht="34.5" customHeight="1" thickBot="1" x14ac:dyDescent="0.25">
      <c r="A21" s="285"/>
      <c r="B21" s="17" t="s">
        <v>26</v>
      </c>
      <c r="C21" s="289" t="s">
        <v>62</v>
      </c>
      <c r="D21" s="290"/>
      <c r="E21" s="2">
        <f>IF(B8&gt;39062,(E8-224.49)*F21,0)</f>
        <v>6.4482758620698633E-3</v>
      </c>
      <c r="F21" s="18">
        <v>0.3</v>
      </c>
    </row>
    <row r="22" spans="1:6" ht="36.75" thickBot="1" x14ac:dyDescent="0.25">
      <c r="A22" s="25" t="s">
        <v>63</v>
      </c>
      <c r="B22" s="26" t="s">
        <v>64</v>
      </c>
      <c r="C22" s="308" t="s">
        <v>65</v>
      </c>
      <c r="D22" s="309" t="s">
        <v>49</v>
      </c>
      <c r="E22" s="29">
        <f>(E19+E21)*F22</f>
        <v>2.4939780989913793</v>
      </c>
      <c r="F22" s="13">
        <v>0.24260000000000001</v>
      </c>
    </row>
    <row r="23" spans="1:6" ht="24" customHeight="1" x14ac:dyDescent="0.2">
      <c r="A23" s="23" t="s">
        <v>66</v>
      </c>
      <c r="B23" s="27" t="s">
        <v>39</v>
      </c>
      <c r="C23" s="19" t="s">
        <v>40</v>
      </c>
      <c r="D23" s="28" t="str">
        <f>C24&amp;" % av Lön"</f>
        <v>1,5 % av Lön</v>
      </c>
      <c r="E23" s="280">
        <f>F23*E12</f>
        <v>3.4245860775862065</v>
      </c>
      <c r="F23" s="305">
        <f>C24/100</f>
        <v>1.4999999999999999E-2</v>
      </c>
    </row>
    <row r="24" spans="1:6" ht="45.75" thickBot="1" x14ac:dyDescent="0.25">
      <c r="A24" s="22"/>
      <c r="B24" s="21" t="s">
        <v>41</v>
      </c>
      <c r="C24" s="30">
        <v>1.5</v>
      </c>
      <c r="D24" s="24"/>
      <c r="E24" s="281"/>
      <c r="F24" s="305"/>
    </row>
    <row r="25" spans="1:6" ht="26.25" thickBot="1" x14ac:dyDescent="0.25">
      <c r="A25" s="11" t="s">
        <v>67</v>
      </c>
      <c r="B25" s="12" t="s">
        <v>43</v>
      </c>
      <c r="C25" s="293" t="s">
        <v>44</v>
      </c>
      <c r="D25" s="290" t="s">
        <v>49</v>
      </c>
      <c r="E25" s="1">
        <f>E12*F25</f>
        <v>2.2830573850574711</v>
      </c>
      <c r="F25" s="13">
        <v>0.01</v>
      </c>
    </row>
    <row r="26" spans="1:6" ht="16.5" thickBot="1" x14ac:dyDescent="0.25">
      <c r="A26" s="277" t="s">
        <v>45</v>
      </c>
      <c r="B26" s="278"/>
      <c r="C26" s="278"/>
      <c r="D26" s="279"/>
      <c r="E26" s="3">
        <f>SUM(E12:E25)</f>
        <v>371.93564019531317</v>
      </c>
    </row>
  </sheetData>
  <sheetProtection sheet="1" objects="1" scenarios="1"/>
  <mergeCells count="22">
    <mergeCell ref="F23:F24"/>
    <mergeCell ref="C19:D20"/>
    <mergeCell ref="C21:D21"/>
    <mergeCell ref="E19:E20"/>
    <mergeCell ref="F19:F20"/>
    <mergeCell ref="C22:D22"/>
    <mergeCell ref="A4:B6"/>
    <mergeCell ref="D6:E6"/>
    <mergeCell ref="E8:E9"/>
    <mergeCell ref="C11:D11"/>
    <mergeCell ref="C12:D12"/>
    <mergeCell ref="A26:D26"/>
    <mergeCell ref="E23:E24"/>
    <mergeCell ref="C13:D13"/>
    <mergeCell ref="A16:A17"/>
    <mergeCell ref="A19:A21"/>
    <mergeCell ref="C14:D14"/>
    <mergeCell ref="C15:D15"/>
    <mergeCell ref="C16:D17"/>
    <mergeCell ref="E16:E17"/>
    <mergeCell ref="C18:D18"/>
    <mergeCell ref="C25:D25"/>
  </mergeCells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31"/>
  <sheetViews>
    <sheetView view="pageLayout" topLeftCell="A25" zoomScaleNormal="100" workbookViewId="0">
      <selection activeCell="H11" sqref="H11"/>
    </sheetView>
  </sheetViews>
  <sheetFormatPr defaultColWidth="26" defaultRowHeight="14.25" x14ac:dyDescent="0.2"/>
  <cols>
    <col min="1" max="1" width="10.25" style="33" customWidth="1"/>
    <col min="2" max="2" width="26" style="33"/>
    <col min="3" max="3" width="10.125" style="33" customWidth="1"/>
    <col min="4" max="4" width="21.25" style="33" customWidth="1"/>
    <col min="5" max="5" width="13.5" style="33" customWidth="1"/>
    <col min="6" max="6" width="26" style="33" hidden="1" customWidth="1"/>
    <col min="7" max="16384" width="26" style="33"/>
  </cols>
  <sheetData>
    <row r="2" spans="1:6" ht="5.25" customHeight="1" x14ac:dyDescent="0.2">
      <c r="A2" s="264" t="s">
        <v>80</v>
      </c>
      <c r="B2" s="265"/>
      <c r="C2" s="265"/>
      <c r="D2" s="265"/>
      <c r="E2" s="265"/>
    </row>
    <row r="3" spans="1:6" ht="5.25" customHeight="1" x14ac:dyDescent="0.2">
      <c r="A3" s="264"/>
      <c r="B3" s="265"/>
      <c r="C3" s="265"/>
      <c r="D3" s="265"/>
      <c r="E3" s="265"/>
    </row>
    <row r="4" spans="1:6" ht="63.75" customHeight="1" x14ac:dyDescent="0.2">
      <c r="A4" s="264"/>
      <c r="B4" s="265"/>
      <c r="C4" s="265"/>
      <c r="D4" s="265"/>
      <c r="E4" s="265"/>
    </row>
    <row r="5" spans="1:6" ht="7.5" customHeight="1" thickBot="1" x14ac:dyDescent="0.25"/>
    <row r="6" spans="1:6" ht="24" customHeight="1" x14ac:dyDescent="0.25">
      <c r="A6" s="34" t="s">
        <v>0</v>
      </c>
      <c r="B6" s="4"/>
      <c r="E6" s="270">
        <f>IF(B8&gt;0,B8,((B6/174)))</f>
        <v>0</v>
      </c>
    </row>
    <row r="7" spans="1:6" ht="8.25" customHeight="1" x14ac:dyDescent="0.2">
      <c r="A7" s="35"/>
      <c r="E7" s="271"/>
    </row>
    <row r="8" spans="1:6" ht="24" customHeight="1" thickBot="1" x14ac:dyDescent="0.3">
      <c r="A8" s="34" t="s">
        <v>1</v>
      </c>
      <c r="B8" s="32">
        <v>0</v>
      </c>
      <c r="E8" s="272"/>
      <c r="F8" s="36">
        <f>(E6*1.1284)*(2088-200-88-116-29-B10)</f>
        <v>0</v>
      </c>
    </row>
    <row r="9" spans="1:6" ht="6.75" customHeight="1" x14ac:dyDescent="0.2">
      <c r="A9" s="35"/>
    </row>
    <row r="10" spans="1:6" ht="24" customHeight="1" x14ac:dyDescent="0.2">
      <c r="A10" s="35" t="s">
        <v>70</v>
      </c>
      <c r="B10" s="31">
        <v>0</v>
      </c>
      <c r="F10" s="36">
        <f>(B10*E6)*0.8</f>
        <v>0</v>
      </c>
    </row>
    <row r="11" spans="1:6" ht="7.5" customHeight="1" thickBot="1" x14ac:dyDescent="0.25"/>
    <row r="12" spans="1:6" ht="18.600000000000001" customHeight="1" thickBot="1" x14ac:dyDescent="0.25">
      <c r="A12" s="38"/>
      <c r="B12" s="39" t="s">
        <v>2</v>
      </c>
      <c r="C12" s="273" t="s">
        <v>3</v>
      </c>
      <c r="D12" s="274"/>
      <c r="E12" s="40" t="s">
        <v>4</v>
      </c>
    </row>
    <row r="13" spans="1:6" ht="18.600000000000001" customHeight="1" x14ac:dyDescent="0.2">
      <c r="A13" s="237" t="s">
        <v>5</v>
      </c>
      <c r="B13" s="250" t="s">
        <v>6</v>
      </c>
      <c r="C13" s="248" t="s">
        <v>71</v>
      </c>
      <c r="D13" s="249"/>
      <c r="E13" s="239">
        <f>E6*(1+F13)</f>
        <v>0</v>
      </c>
      <c r="F13" s="310">
        <f>IF(E6&gt;0,(F10/F8)*100)/100</f>
        <v>0</v>
      </c>
    </row>
    <row r="14" spans="1:6" ht="12.75" customHeight="1" thickBot="1" x14ac:dyDescent="0.25">
      <c r="A14" s="238"/>
      <c r="B14" s="251"/>
      <c r="C14" s="311">
        <f>F13</f>
        <v>0</v>
      </c>
      <c r="D14" s="312"/>
      <c r="E14" s="240"/>
      <c r="F14" s="310"/>
    </row>
    <row r="15" spans="1:6" ht="15" thickBot="1" x14ac:dyDescent="0.25">
      <c r="A15" s="46" t="s">
        <v>7</v>
      </c>
      <c r="B15" s="42" t="s">
        <v>8</v>
      </c>
      <c r="C15" s="259" t="s">
        <v>9</v>
      </c>
      <c r="D15" s="253"/>
      <c r="E15" s="43">
        <f>$E$13*F15</f>
        <v>0</v>
      </c>
      <c r="F15" s="44">
        <v>0.31419999999999998</v>
      </c>
    </row>
    <row r="16" spans="1:6" ht="15" thickBot="1" x14ac:dyDescent="0.25">
      <c r="A16" s="46" t="s">
        <v>10</v>
      </c>
      <c r="B16" s="42" t="s">
        <v>11</v>
      </c>
      <c r="C16" s="259" t="s">
        <v>72</v>
      </c>
      <c r="D16" s="253"/>
      <c r="E16" s="43">
        <f>$E$13*F16</f>
        <v>0</v>
      </c>
      <c r="F16" s="44">
        <v>0.13159999999999999</v>
      </c>
    </row>
    <row r="17" spans="1:6" ht="27" customHeight="1" thickBot="1" x14ac:dyDescent="0.25">
      <c r="A17" s="46" t="s">
        <v>13</v>
      </c>
      <c r="B17" s="42" t="s">
        <v>14</v>
      </c>
      <c r="C17" s="259" t="s">
        <v>73</v>
      </c>
      <c r="D17" s="253"/>
      <c r="E17" s="43">
        <f>$E$13*F17</f>
        <v>0</v>
      </c>
      <c r="F17" s="44">
        <v>2.24E-2</v>
      </c>
    </row>
    <row r="18" spans="1:6" x14ac:dyDescent="0.2">
      <c r="A18" s="260" t="s">
        <v>16</v>
      </c>
      <c r="B18" s="45" t="s">
        <v>17</v>
      </c>
      <c r="C18" s="242" t="s">
        <v>74</v>
      </c>
      <c r="D18" s="243"/>
      <c r="E18" s="239">
        <f>E13*F18</f>
        <v>0</v>
      </c>
      <c r="F18" s="44">
        <v>4.9299999999999997E-2</v>
      </c>
    </row>
    <row r="19" spans="1:6" ht="15" thickBot="1" x14ac:dyDescent="0.25">
      <c r="A19" s="261"/>
      <c r="B19" s="47" t="s">
        <v>18</v>
      </c>
      <c r="C19" s="252"/>
      <c r="D19" s="267"/>
      <c r="E19" s="240"/>
    </row>
    <row r="20" spans="1:6" ht="26.25" thickBot="1" x14ac:dyDescent="0.25">
      <c r="A20" s="46" t="s">
        <v>19</v>
      </c>
      <c r="B20" s="42" t="s">
        <v>20</v>
      </c>
      <c r="C20" s="259" t="s">
        <v>21</v>
      </c>
      <c r="D20" s="253"/>
      <c r="E20" s="43">
        <f>E13*F20</f>
        <v>0</v>
      </c>
      <c r="F20" s="44">
        <v>4.1000000000000003E-3</v>
      </c>
    </row>
    <row r="21" spans="1:6" ht="14.25" customHeight="1" x14ac:dyDescent="0.2">
      <c r="A21" s="260" t="s">
        <v>22</v>
      </c>
      <c r="B21" s="45" t="s">
        <v>23</v>
      </c>
      <c r="C21" s="242" t="s">
        <v>24</v>
      </c>
      <c r="D21" s="243"/>
      <c r="E21" s="246">
        <f>E13*F21</f>
        <v>0</v>
      </c>
      <c r="F21" s="268">
        <v>4.2999999999999997E-2</v>
      </c>
    </row>
    <row r="22" spans="1:6" ht="22.5" customHeight="1" x14ac:dyDescent="0.2">
      <c r="A22" s="269"/>
      <c r="B22" s="48" t="s">
        <v>25</v>
      </c>
      <c r="C22" s="244"/>
      <c r="D22" s="245"/>
      <c r="E22" s="247"/>
      <c r="F22" s="268"/>
    </row>
    <row r="23" spans="1:6" ht="34.5" thickBot="1" x14ac:dyDescent="0.25">
      <c r="A23" s="261"/>
      <c r="B23" s="50" t="s">
        <v>26</v>
      </c>
      <c r="C23" s="252" t="s">
        <v>62</v>
      </c>
      <c r="D23" s="267"/>
      <c r="E23" s="49">
        <f>IF(E6&gt;224.5,(E6-224.49)*F23,0)</f>
        <v>0</v>
      </c>
      <c r="F23" s="51">
        <v>0.3</v>
      </c>
    </row>
    <row r="24" spans="1:6" ht="36.75" thickBot="1" x14ac:dyDescent="0.25">
      <c r="A24" s="52" t="s">
        <v>27</v>
      </c>
      <c r="B24" s="53" t="s">
        <v>28</v>
      </c>
      <c r="C24" s="257" t="s">
        <v>29</v>
      </c>
      <c r="D24" s="258"/>
      <c r="E24" s="43">
        <f>(E21+E23)*F24</f>
        <v>0</v>
      </c>
      <c r="F24" s="44">
        <v>0.24260000000000001</v>
      </c>
    </row>
    <row r="25" spans="1:6" ht="26.25" thickBot="1" x14ac:dyDescent="0.25">
      <c r="A25" s="46" t="s">
        <v>30</v>
      </c>
      <c r="B25" s="42" t="s">
        <v>79</v>
      </c>
      <c r="C25" s="259" t="s">
        <v>75</v>
      </c>
      <c r="D25" s="253"/>
      <c r="E25" s="43">
        <f>E13*F25</f>
        <v>0</v>
      </c>
      <c r="F25" s="44">
        <v>3.0000000000000001E-3</v>
      </c>
    </row>
    <row r="26" spans="1:6" ht="36.75" thickBot="1" x14ac:dyDescent="0.25">
      <c r="A26" s="52" t="s">
        <v>32</v>
      </c>
      <c r="B26" s="53" t="s">
        <v>33</v>
      </c>
      <c r="C26" s="257" t="s">
        <v>34</v>
      </c>
      <c r="D26" s="258"/>
      <c r="E26" s="43">
        <f>E25*F26</f>
        <v>0</v>
      </c>
      <c r="F26" s="44">
        <v>0.24260000000000001</v>
      </c>
    </row>
    <row r="27" spans="1:6" ht="15" thickBot="1" x14ac:dyDescent="0.25">
      <c r="A27" s="46" t="s">
        <v>35</v>
      </c>
      <c r="B27" s="42" t="s">
        <v>77</v>
      </c>
      <c r="C27" s="242" t="s">
        <v>78</v>
      </c>
      <c r="D27" s="253"/>
      <c r="E27" s="43">
        <f>E13*F27</f>
        <v>0</v>
      </c>
      <c r="F27" s="44">
        <v>4.1999999999999997E-3</v>
      </c>
    </row>
    <row r="28" spans="1:6" ht="36" customHeight="1" x14ac:dyDescent="0.2">
      <c r="A28" s="260" t="s">
        <v>38</v>
      </c>
      <c r="B28" s="54" t="s">
        <v>39</v>
      </c>
      <c r="C28" s="55" t="s">
        <v>40</v>
      </c>
      <c r="D28" s="262" t="str">
        <f>C29&amp;"% av Lön "</f>
        <v xml:space="preserve">0% av Lön </v>
      </c>
      <c r="E28" s="239">
        <f>E13*F28</f>
        <v>0</v>
      </c>
      <c r="F28" s="266">
        <f>C29/100</f>
        <v>0</v>
      </c>
    </row>
    <row r="29" spans="1:6" ht="45.75" thickBot="1" x14ac:dyDescent="0.25">
      <c r="A29" s="261"/>
      <c r="B29" s="56" t="s">
        <v>76</v>
      </c>
      <c r="C29" s="5">
        <v>0</v>
      </c>
      <c r="D29" s="263"/>
      <c r="E29" s="240"/>
      <c r="F29" s="266"/>
    </row>
    <row r="30" spans="1:6" ht="26.25" thickBot="1" x14ac:dyDescent="0.25">
      <c r="A30" s="46" t="s">
        <v>42</v>
      </c>
      <c r="B30" s="42" t="s">
        <v>43</v>
      </c>
      <c r="C30" s="252" t="s">
        <v>44</v>
      </c>
      <c r="D30" s="253"/>
      <c r="E30" s="43">
        <f>E13*F30</f>
        <v>0</v>
      </c>
      <c r="F30" s="44">
        <v>0.01</v>
      </c>
    </row>
    <row r="31" spans="1:6" ht="16.5" thickBot="1" x14ac:dyDescent="0.25">
      <c r="A31" s="254" t="s">
        <v>45</v>
      </c>
      <c r="B31" s="255"/>
      <c r="C31" s="255"/>
      <c r="D31" s="256"/>
      <c r="E31" s="57">
        <f>SUM(E13:E30)</f>
        <v>0</v>
      </c>
    </row>
  </sheetData>
  <mergeCells count="31">
    <mergeCell ref="E28:E29"/>
    <mergeCell ref="F28:F29"/>
    <mergeCell ref="C30:D30"/>
    <mergeCell ref="A31:D31"/>
    <mergeCell ref="C24:D24"/>
    <mergeCell ref="C25:D25"/>
    <mergeCell ref="C26:D26"/>
    <mergeCell ref="C27:D27"/>
    <mergeCell ref="A28:A29"/>
    <mergeCell ref="D28:D29"/>
    <mergeCell ref="C20:D20"/>
    <mergeCell ref="A21:A23"/>
    <mergeCell ref="C21:D22"/>
    <mergeCell ref="E21:E22"/>
    <mergeCell ref="F21:F22"/>
    <mergeCell ref="C23:D23"/>
    <mergeCell ref="F13:F14"/>
    <mergeCell ref="C14:D14"/>
    <mergeCell ref="C15:D15"/>
    <mergeCell ref="C16:D16"/>
    <mergeCell ref="C17:D17"/>
    <mergeCell ref="A18:A19"/>
    <mergeCell ref="C18:D19"/>
    <mergeCell ref="E18:E19"/>
    <mergeCell ref="A2:E4"/>
    <mergeCell ref="E6:E8"/>
    <mergeCell ref="C12:D12"/>
    <mergeCell ref="A13:A14"/>
    <mergeCell ref="B13:B14"/>
    <mergeCell ref="C13:D13"/>
    <mergeCell ref="E13:E14"/>
  </mergeCell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14</vt:i4>
      </vt:variant>
    </vt:vector>
  </HeadingPairs>
  <TitlesOfParts>
    <vt:vector size="19" baseType="lpstr">
      <vt:lpstr>Investering företaglärling</vt:lpstr>
      <vt:lpstr>Utbildningsplan</vt:lpstr>
      <vt:lpstr>Totalkostnad lön</vt:lpstr>
      <vt:lpstr>1</vt:lpstr>
      <vt:lpstr>Yrkesarbetare VVS</vt:lpstr>
      <vt:lpstr>Utbildningsplan!_Toc496724600</vt:lpstr>
      <vt:lpstr>Utbildningsplan!_Toc496724601</vt:lpstr>
      <vt:lpstr>Utbildningsplan!_Toc496724602</vt:lpstr>
      <vt:lpstr>Utbildningsplan!_Toc496724603</vt:lpstr>
      <vt:lpstr>Utbildningsplan!_Toc496724606</vt:lpstr>
      <vt:lpstr>Utbildningsplan!_Toc496724607</vt:lpstr>
      <vt:lpstr>Utbildningsplan!_Toc496724608</vt:lpstr>
      <vt:lpstr>Utbildningsplan!_Toc496724610</vt:lpstr>
      <vt:lpstr>Utbildningsplan!_Toc496724611</vt:lpstr>
      <vt:lpstr>Utbildningsplan!boende</vt:lpstr>
      <vt:lpstr>Utbildningsplan!Print_Area</vt:lpstr>
      <vt:lpstr>Utbildningsplan!pris</vt:lpstr>
      <vt:lpstr>Utbildningsplan!resa</vt:lpstr>
      <vt:lpstr>'Investering företaglärling'!Utskriftsområde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Mustonen, Reijo</dc:creator>
  <cp:lastModifiedBy>Byström, Anna</cp:lastModifiedBy>
  <cp:lastPrinted>2019-03-13T08:52:44Z</cp:lastPrinted>
  <dcterms:created xsi:type="dcterms:W3CDTF">2016-05-24T13:48:39Z</dcterms:created>
  <dcterms:modified xsi:type="dcterms:W3CDTF">2019-12-09T08:20:37Z</dcterms:modified>
</cp:coreProperties>
</file>